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6.xml" ContentType="application/vnd.openxmlformats-officedocument.spreadsheetml.comments+xml"/>
  <Override PartName="/xl/comments15.xml" ContentType="application/vnd.openxmlformats-officedocument.spreadsheetml.comments+xml"/>
  <Override PartName="/xl/drawings/vmlDrawing2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Control" sheetId="1" state="visible" r:id="rId2"/>
    <sheet name="Cultivation" sheetId="2" state="visible" r:id="rId3"/>
    <sheet name="Drying" sheetId="3" state="visible" r:id="rId4"/>
    <sheet name="WE" sheetId="4" state="visible" r:id="rId5"/>
    <sheet name="WED" sheetId="5" state="visible" r:id="rId6"/>
    <sheet name="Hydrotreat" sheetId="6" state="visible" r:id="rId7"/>
    <sheet name="HTL" sheetId="7" state="visible" r:id="rId8"/>
    <sheet name="DryingNoSummer" sheetId="8" state="hidden" r:id="rId9"/>
    <sheet name="WEFlat" sheetId="9" state="hidden" r:id="rId10"/>
    <sheet name="Cultivationcoefs" sheetId="10" state="visible" r:id="rId11"/>
    <sheet name="Cultivationcoefs (2)" sheetId="11" state="visible" r:id="rId12"/>
    <sheet name="Ref" sheetId="12" state="visible" r:id="rId13"/>
    <sheet name="test" sheetId="13" state="visible" r:id="rId14"/>
    <sheet name="CultivationcoefsOLDTEST" sheetId="14" state="visible" r:id="rId15"/>
    <sheet name="CapitalOLD" sheetId="15" state="hidden" r:id="rId16"/>
    <sheet name="LaborAuto" sheetId="16" state="hidden" r:id="rId17"/>
  </sheets>
  <definedNames>
    <definedName function="false" hidden="false" name="Algae_CO2_energy_penalty" vbProcedure="false">Cultivation!$C$22</definedName>
    <definedName function="false" hidden="false" name="Algae_CO2_fertilizer" vbProcedure="false">Cultivation!$C$19</definedName>
    <definedName function="false" hidden="false" name="Algae_CO2_non_energy_cost" vbProcedure="false">Cultivation!$C$23</definedName>
    <definedName function="false" hidden="false" name="Algae_electricity" vbProcedure="false">Cultivation!$C$14</definedName>
    <definedName function="false" hidden="false" name="Algae_electricity_factor" vbProcedure="false">Cultivation!$C$16</definedName>
    <definedName function="false" hidden="false" name="Algae_nonLandVariableCost" vbProcedure="false">Cultivation!$C$13</definedName>
    <definedName function="false" hidden="false" name="Algae_N_fertilizer" vbProcedure="false">Cultivation!$C$17</definedName>
    <definedName function="false" hidden="false" name="ALGAE_ON" vbProcedure="false">Control!$G$13</definedName>
    <definedName function="false" hidden="false" name="Algae_P_fertilizer" vbProcedure="false">Cultivation!$C$18</definedName>
    <definedName function="false" hidden="false" name="Algae_water" vbProcedure="false">Cultivation!$C$20</definedName>
    <definedName function="false" hidden="false" name="Algae_yield" vbProcedure="false">Cultivation!$C$12</definedName>
    <definedName function="false" hidden="false" name="Algae_yield_cost_factor" vbProcedure="false">Cultivation!$C$15</definedName>
    <definedName function="false" hidden="false" name="AltFood_Algae" vbProcedure="false">Drying!$C$13</definedName>
    <definedName function="false" hidden="false" name="AltFood_electricity" vbProcedure="false">Drying!$C$15</definedName>
    <definedName function="false" hidden="false" name="AltFood_input_cost" vbProcedure="false">Drying!$C$16</definedName>
    <definedName function="false" hidden="false" name="AltFood_wholesale_gas" vbProcedure="false">Drying!$C$14</definedName>
    <definedName function="false" hidden="false" name="HTL_Algae" vbProcedure="false">HTL!$C$12</definedName>
    <definedName function="false" hidden="false" name="HTL_elect_td_ind" vbProcedure="false">HTL!$C$14</definedName>
    <definedName function="false" hidden="false" name="HTL_input_cost" vbProcedure="false">HTL!$C$15</definedName>
    <definedName function="false" hidden="false" name="HTL_SecOut_CO2_CCU" vbProcedure="false">HTL!$C$18</definedName>
    <definedName function="false" hidden="false" name="HTL_SecOut_N_fertilizer" vbProcedure="false">HTL!$C$16</definedName>
    <definedName function="false" hidden="false" name="HTL_SecOut_P_fertilizer" vbProcedure="false">HTL!$C$17</definedName>
    <definedName function="false" hidden="false" name="HTL_wholesale_gas" vbProcedure="false">HTL!$C$13</definedName>
    <definedName function="false" hidden="false" name="HTL_wholsale_gas" vbProcedure="false">HTL!$C$13</definedName>
    <definedName function="false" hidden="false" name="WE_Algae" vbProcedure="false">WE!$C$12</definedName>
    <definedName function="false" hidden="false" name="WE_electricity" vbProcedure="false">WE!$C$14</definedName>
    <definedName function="false" hidden="false" name="WE_input_cost" vbProcedure="false">WE!$C$16</definedName>
    <definedName function="false" hidden="false" name="WE_SecOut_BiomassOil" vbProcedure="false">WE!$C$15</definedName>
    <definedName function="false" hidden="false" name="WE_wholesale_gas" vbProcedure="false">WE!$C$13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Michael Jay Walsh
</t>
        </r>
        <r>
          <rPr>
            <sz val="9"/>
            <color rgb="FF000000"/>
            <rFont val="Tahoma"/>
            <family val="2"/>
            <charset val="1"/>
          </rPr>
          <t xml:space="preserve">Normalized to biomass not food output
</t>
        </r>
      </text>
    </comment>
    <comment ref="H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Michael Jay Walsh:
</t>
        </r>
        <r>
          <rPr>
            <sz val="9"/>
            <color rgb="FF000000"/>
            <rFont val="Tahoma"/>
            <family val="2"/>
            <charset val="1"/>
          </rPr>
          <t xml:space="preserve">May want to consider fixing working capital across all options</t>
        </r>
      </text>
    </comment>
    <comment ref="H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Michael Jay Walsh:
</t>
        </r>
        <r>
          <rPr>
            <sz val="9"/>
            <color rgb="FF000000"/>
            <rFont val="Tahoma"/>
            <family val="2"/>
            <charset val="1"/>
          </rPr>
          <t xml:space="preserve">May want to consider fixing working capital across all options</t>
        </r>
      </text>
    </comment>
    <comment ref="H1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Michael Jay Walsh:
</t>
        </r>
        <r>
          <rPr>
            <sz val="9"/>
            <color rgb="FF000000"/>
            <rFont val="Tahoma"/>
            <family val="2"/>
            <charset val="1"/>
          </rPr>
          <t xml:space="preserve">May want to consider fixing working capital across all options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Fulfilled by Biomass</t>
        </r>
      </text>
    </comment>
    <comment ref="A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Fulfilled by Biomass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Fulfilled by Biomass</t>
        </r>
      </text>
    </commen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Walsh, Michael J.:
</t>
        </r>
        <r>
          <rPr>
            <sz val="9"/>
            <color rgb="FF000000"/>
            <rFont val="Tahoma"/>
            <family val="2"/>
            <charset val="1"/>
          </rPr>
          <t xml:space="preserve">Added for all conversion options, with same # and pay as Operator - Inoculum </t>
        </r>
      </text>
    </comment>
  </commentList>
</comments>
</file>

<file path=xl/sharedStrings.xml><?xml version="1.0" encoding="utf-8"?>
<sst xmlns="http://schemas.openxmlformats.org/spreadsheetml/2006/main" count="4679" uniqueCount="877">
  <si>
    <t xml:space="preserve">Control Values for Algae Data System</t>
  </si>
  <si>
    <t xml:space="preserve">Being used prior to implementation in R for control of key GCAM parameters</t>
  </si>
  <si>
    <t xml:space="preserve">Values not already defined by technology processes (e.g. shareweights)</t>
  </si>
  <si>
    <t xml:space="preserve">AgLU (ag_Alg.xlsx)</t>
  </si>
  <si>
    <t xml:space="preserve">Builds New Algae Cultivation and Food processing sector</t>
  </si>
  <si>
    <t xml:space="preserve">L221</t>
  </si>
  <si>
    <t xml:space="preserve">Cultivation</t>
  </si>
  <si>
    <t xml:space="preserve">L222</t>
  </si>
  <si>
    <t xml:space="preserve">Algae Food (Coproduction and drying)</t>
  </si>
  <si>
    <t xml:space="preserve">L223</t>
  </si>
  <si>
    <t xml:space="preserve">AltFood -&gt; Feed</t>
  </si>
  <si>
    <t xml:space="preserve">L225</t>
  </si>
  <si>
    <t xml:space="preserve">Land</t>
  </si>
  <si>
    <t xml:space="preserve">Value By Year</t>
  </si>
  <si>
    <t xml:space="preserve">Parameter</t>
  </si>
  <si>
    <t xml:space="preserve">Sector</t>
  </si>
  <si>
    <t xml:space="preserve">Technology</t>
  </si>
  <si>
    <t xml:space="preserve">Sheet</t>
  </si>
  <si>
    <t xml:space="preserve">Scope</t>
  </si>
  <si>
    <t xml:space="preserve">Comment</t>
  </si>
  <si>
    <t xml:space="preserve">Value</t>
  </si>
  <si>
    <t xml:space="preserve">Yield</t>
  </si>
  <si>
    <t xml:space="preserve">Algae</t>
  </si>
  <si>
    <t xml:space="preserve">L221.AgYield_Alg</t>
  </si>
  <si>
    <t xml:space="preserve">ALL Regions &amp; Years</t>
  </si>
  <si>
    <t xml:space="preserve">ON  - SET TO FALSE TO TURN OFF ALGAE</t>
  </si>
  <si>
    <t xml:space="preserve">Yield Improvement</t>
  </si>
  <si>
    <t xml:space="preserve">Cultivationcoefs</t>
  </si>
  <si>
    <t xml:space="preserve">Share weight</t>
  </si>
  <si>
    <t xml:space="preserve">AltFood</t>
  </si>
  <si>
    <t xml:space="preserve">Algae Food</t>
  </si>
  <si>
    <t xml:space="preserve">L222.GlobalTechShrwt_AltF</t>
  </si>
  <si>
    <t xml:space="preserve">Global &amp; All Years</t>
  </si>
  <si>
    <t xml:space="preserve">ON  - SET TO FALSE TO TURN OFF FOOD</t>
  </si>
  <si>
    <t xml:space="preserve">Algae Coproduction</t>
  </si>
  <si>
    <t xml:space="preserve">ON  - SET TO FALSE TO TURN OFF Coproduction</t>
  </si>
  <si>
    <t xml:space="preserve">FeedCrops</t>
  </si>
  <si>
    <t xml:space="preserve">L223.GlobalTechShrwt_Feed</t>
  </si>
  <si>
    <t xml:space="preserve">ON  - SET TO FALSE TO TURN OFF Feed Consumption</t>
  </si>
  <si>
    <t xml:space="preserve">Ag Demand (ag_Demand_Alt.xlsx)</t>
  </si>
  <si>
    <t xml:space="preserve">Replaces Ag Demand Sector by adding new Flex category (Corn Oil, Alt) and AltFood demand</t>
  </si>
  <si>
    <t xml:space="preserve">L233</t>
  </si>
  <si>
    <t xml:space="preserve">Food Demand</t>
  </si>
  <si>
    <t xml:space="preserve">Algae (Human food demand)</t>
  </si>
  <si>
    <t xml:space="preserve">L233.GlobalTechShrwt_demand</t>
  </si>
  <si>
    <t xml:space="preserve">ON  - SET TO FALSE TO TURN OFF Human Food Consumption</t>
  </si>
  <si>
    <t xml:space="preserve">PriceElasticity</t>
  </si>
  <si>
    <t xml:space="preserve">Demand</t>
  </si>
  <si>
    <t xml:space="preserve">FoodDemand_Meat</t>
  </si>
  <si>
    <t xml:space="preserve">L233.PriceElasticity</t>
  </si>
  <si>
    <t xml:space="preserve">USA</t>
  </si>
  <si>
    <t xml:space="preserve">GCAM DEFAULT: -0.09</t>
  </si>
  <si>
    <t xml:space="preserve">Set to zero to minimize meat response</t>
  </si>
  <si>
    <t xml:space="preserve">ROW</t>
  </si>
  <si>
    <t xml:space="preserve">GCAM DEFAULT: -0.25</t>
  </si>
  <si>
    <t xml:space="preserve">Energy (en_Alg.xlsx)</t>
  </si>
  <si>
    <t xml:space="preserve">L291</t>
  </si>
  <si>
    <t xml:space="preserve">passthrough sector for regional algae for htl </t>
  </si>
  <si>
    <t xml:space="preserve">equivalent to L221</t>
  </si>
  <si>
    <t xml:space="preserve">L292</t>
  </si>
  <si>
    <t xml:space="preserve">efining processing sector for algae HTL and algale oil hydrotreatment</t>
  </si>
  <si>
    <t xml:space="preserve">equivalent to L222</t>
  </si>
  <si>
    <t xml:space="preserve">regional algae for htl</t>
  </si>
  <si>
    <t xml:space="preserve">L291.SubsectorShrwtFllt_Alg</t>
  </si>
  <si>
    <t xml:space="preserve">All regions, by regions, 1975 only</t>
  </si>
  <si>
    <t xml:space="preserve">may not be necessary</t>
  </si>
  <si>
    <t xml:space="preserve">L291.GlobalTechShrwt_Alg</t>
  </si>
  <si>
    <t xml:space="preserve">Global</t>
  </si>
  <si>
    <t xml:space="preserve">pass through sector</t>
  </si>
  <si>
    <t xml:space="preserve">refining</t>
  </si>
  <si>
    <t xml:space="preserve">algae htl biodiesel</t>
  </si>
  <si>
    <t xml:space="preserve">L292.GlobalTechShrwt_Alg</t>
  </si>
  <si>
    <t xml:space="preserve">SHUTOFF HTL HERE</t>
  </si>
  <si>
    <t xml:space="preserve">algae oil biodiesel</t>
  </si>
  <si>
    <t xml:space="preserve">SHUTOFF Hydrotreatment HERE - Might not be necessary</t>
  </si>
  <si>
    <t xml:space="preserve">L292.StubTechProd_Alg</t>
  </si>
  <si>
    <t xml:space="preserve">Review This Sheet, subs.share.weight sets subsector technoloiges SW's (DO NOT TOUCH)</t>
  </si>
  <si>
    <t xml:space="preserve">DepRsrc</t>
  </si>
  <si>
    <t xml:space="preserve">algae oil</t>
  </si>
  <si>
    <t xml:space="preserve">L291.DepRsrc</t>
  </si>
  <si>
    <t xml:space="preserve">UNTESTED - NEEDED FOR SECOUT </t>
  </si>
  <si>
    <t xml:space="preserve">NEED TO TEST</t>
  </si>
  <si>
    <t xml:space="preserve">DepRsrcPrice</t>
  </si>
  <si>
    <t xml:space="preserve">L291.DepRsrcPrice</t>
  </si>
  <si>
    <t xml:space="preserve">All regions, by regions, 1975-2010</t>
  </si>
  <si>
    <t xml:space="preserve">Expirements </t>
  </si>
  <si>
    <t xml:space="preserve">No Algae</t>
  </si>
  <si>
    <t xml:space="preserve">Shut Yield Off G13</t>
  </si>
  <si>
    <t xml:space="preserve">WORKS</t>
  </si>
  <si>
    <t xml:space="preserve">Algae On</t>
  </si>
  <si>
    <t xml:space="preserve">All True</t>
  </si>
  <si>
    <t xml:space="preserve">Works, but 1 unsovable market (Europe_EastAlgae) has 0 supply and 2.72 demand</t>
  </si>
  <si>
    <t xml:space="preserve">Algae - No HTL</t>
  </si>
  <si>
    <t xml:space="preserve">Shut off G32</t>
  </si>
  <si>
    <t xml:space="preserve">1 Unsolvable Market in Canada 2095 fails large</t>
  </si>
  <si>
    <t xml:space="preserve">Algae - No Food</t>
  </si>
  <si>
    <t xml:space="preserve">Shut off G14:16,22</t>
  </si>
  <si>
    <t xml:space="preserve">VERY small amount of food/coproduction occuring globally E-5 level</t>
  </si>
  <si>
    <t xml:space="preserve">Algae HTL &amp; Coproduction </t>
  </si>
  <si>
    <t xml:space="preserve">Shut off G14</t>
  </si>
  <si>
    <t xml:space="preserve">RUN Without Issue</t>
  </si>
  <si>
    <t xml:space="preserve">CHECK QUERIES </t>
  </si>
  <si>
    <t xml:space="preserve">TODO:</t>
  </si>
  <si>
    <t xml:space="preserve">Need to check Vintaging </t>
  </si>
  <si>
    <t xml:space="preserve">Should we use "global solar resource for algae"?</t>
  </si>
  <si>
    <t xml:space="preserve">Cultivation Model (Davis et al. 2016) </t>
  </si>
  <si>
    <t xml:space="preserve">http://www.nrel.gov/docs/fy16osti/64772.pdf</t>
  </si>
  <si>
    <t xml:space="preserve">NREL/TP-5100-64772</t>
  </si>
  <si>
    <r>
      <rPr>
        <sz val="11"/>
        <color rgb="FF000000"/>
        <rFont val="Calibri"/>
        <family val="2"/>
        <charset val="1"/>
      </rPr>
      <t xml:space="preserve">Adapted from </t>
    </r>
    <r>
      <rPr>
        <i val="true"/>
        <sz val="11"/>
        <color rgb="FF000000"/>
        <rFont val="Calibri"/>
        <family val="2"/>
        <charset val="1"/>
      </rPr>
      <t xml:space="preserve">Process Design and Economics for the Production of Algal Biomass</t>
    </r>
  </si>
  <si>
    <t xml:space="preserve">Baseline for production of algal biomass in Ag Sector, to be applied with a regional factor based on yields</t>
  </si>
  <si>
    <t xml:space="preserve">Adjusted to include fully lined ponds</t>
  </si>
  <si>
    <t xml:space="preserve">GCAM Technology Name:</t>
  </si>
  <si>
    <t xml:space="preserve">Agriculture</t>
  </si>
  <si>
    <t xml:space="preserve">GCAM Parameters</t>
  </si>
  <si>
    <t xml:space="preserve">Variable Name</t>
  </si>
  <si>
    <t xml:space="preserve">coefficient</t>
  </si>
  <si>
    <t xml:space="preserve">units</t>
  </si>
  <si>
    <t xml:space="preserve">Notes/Tasks</t>
  </si>
  <si>
    <t xml:space="preserve">Baseline Yield</t>
  </si>
  <si>
    <t xml:space="preserve">Algae_yield</t>
  </si>
  <si>
    <t xml:space="preserve">kg/m2/year</t>
  </si>
  <si>
    <t xml:space="preserve">NOT USED with regional yields</t>
  </si>
  <si>
    <t xml:space="preserve">nonLandVariableCost  (yield = 8.25)</t>
  </si>
  <si>
    <t xml:space="preserve">Algae_nonLandVariableCost</t>
  </si>
  <si>
    <t xml:space="preserve">$1975/kg </t>
  </si>
  <si>
    <t xml:space="preserve">NOT USED as cost factors are applied to regional yields</t>
  </si>
  <si>
    <t xml:space="preserve">electricity </t>
  </si>
  <si>
    <t xml:space="preserve">Algae_electricity</t>
  </si>
  <si>
    <t xml:space="preserve">GJ/kg</t>
  </si>
  <si>
    <t xml:space="preserve">NOT USED as factors are applied to regional yields, future work should break this out into demands for mixing+base, water delivery (resource), co2 delivery (resource)</t>
  </si>
  <si>
    <t xml:space="preserve">nonLandVariableCost - factor</t>
  </si>
  <si>
    <t xml:space="preserve">Algae_yield_cost_factor</t>
  </si>
  <si>
    <t xml:space="preserve">$1975/m2/y</t>
  </si>
  <si>
    <t xml:space="preserve">yield depednant</t>
  </si>
  <si>
    <t xml:space="preserve">Algae_electricity_factor</t>
  </si>
  <si>
    <t xml:space="preserve">GJ/m2/y</t>
  </si>
  <si>
    <t xml:space="preserve">N fertilizer</t>
  </si>
  <si>
    <t xml:space="preserve">Algae_N_fertilizer</t>
  </si>
  <si>
    <t xml:space="preserve">t N/t</t>
  </si>
  <si>
    <t xml:space="preserve">fixed to biomass output</t>
  </si>
  <si>
    <t xml:space="preserve">P fertilizer</t>
  </si>
  <si>
    <t xml:space="preserve">Algae_P_fertilizer</t>
  </si>
  <si>
    <t xml:space="preserve">t DAP / t</t>
  </si>
  <si>
    <t xml:space="preserve">CO2 fertilizer</t>
  </si>
  <si>
    <t xml:space="preserve">Algae_CO2_fertilizer</t>
  </si>
  <si>
    <t xml:space="preserve">kg C / kg Algae</t>
  </si>
  <si>
    <t xml:space="preserve">fixed to biomass output,adjusted for output, and units of feedstock carbon market</t>
  </si>
  <si>
    <t xml:space="preserve">Water Inputs</t>
  </si>
  <si>
    <t xml:space="preserve">Algae_water</t>
  </si>
  <si>
    <t xml:space="preserve">t Water / t</t>
  </si>
  <si>
    <t xml:space="preserve">Algae_water_factor</t>
  </si>
  <si>
    <t xml:space="preserve">t water/m2/y</t>
  </si>
  <si>
    <t xml:space="preserve">CO2 Capture and Delivery</t>
  </si>
  <si>
    <t xml:space="preserve">Algae_CO2_energy_penalty</t>
  </si>
  <si>
    <t xml:space="preserve">GJ/kg (Algal Biomass)</t>
  </si>
  <si>
    <t xml:space="preserve">Davis2016 page 84, Fixed to Biomass output (not scalable with Productivity)</t>
  </si>
  <si>
    <t xml:space="preserve">CO2 Cost</t>
  </si>
  <si>
    <t xml:space="preserve">Algae_CO2_non_energy_cost</t>
  </si>
  <si>
    <t xml:space="preserve">$1975/kg</t>
  </si>
  <si>
    <t xml:space="preserve">Baseline facility parameters</t>
  </si>
  <si>
    <t xml:space="preserve">Units</t>
  </si>
  <si>
    <t xml:space="preserve">Annual Production</t>
  </si>
  <si>
    <t xml:space="preserve">t/y</t>
  </si>
  <si>
    <t xml:space="preserve">Table 20</t>
  </si>
  <si>
    <t xml:space="preserve">Total Discounted Output (30-y)</t>
  </si>
  <si>
    <t xml:space="preserve">Algal productivity</t>
  </si>
  <si>
    <t xml:space="preserve">g/m^2/day</t>
  </si>
  <si>
    <t xml:space="preserve">Figure ES-1</t>
  </si>
  <si>
    <t xml:space="preserve">Algal yield</t>
  </si>
  <si>
    <t xml:space="preserve">kg/m^2/year</t>
  </si>
  <si>
    <t xml:space="preserve">Operating Days</t>
  </si>
  <si>
    <t xml:space="preserve">days</t>
  </si>
  <si>
    <t xml:space="preserve">Operating Hours</t>
  </si>
  <si>
    <t xml:space="preserve">hours</t>
  </si>
  <si>
    <t xml:space="preserve">Pond Area</t>
  </si>
  <si>
    <t xml:space="preserve">ha</t>
  </si>
  <si>
    <t xml:space="preserve">5000 acres, ES-1</t>
  </si>
  <si>
    <t xml:space="preserve">t/US ton</t>
  </si>
  <si>
    <t xml:space="preserve">Financial Parameters</t>
  </si>
  <si>
    <t xml:space="preserve">Manufacturing Costs: Adapted from Figure ES-1 ($2011)</t>
  </si>
  <si>
    <t xml:space="preserve">$/US Ton AFDW Biomass Prodcut</t>
  </si>
  <si>
    <t xml:space="preserve">$/t AFDW Biomass Prodcut</t>
  </si>
  <si>
    <t xml:space="preserve">remove</t>
  </si>
  <si>
    <t xml:space="preserve">Notes</t>
  </si>
  <si>
    <t xml:space="preserve">CO2</t>
  </si>
  <si>
    <t xml:space="preserve">Offsite CC, cost incoporates energy use which OSBL in Davis 2016</t>
  </si>
  <si>
    <t xml:space="preserve">Ammonia</t>
  </si>
  <si>
    <t xml:space="preserve">Diammonium Phosphate</t>
  </si>
  <si>
    <t xml:space="preserve">Power</t>
  </si>
  <si>
    <t xml:space="preserve">(Mixing/Base, + CO2 Delivery + Water Delivery) - Future IAM will break out water and CO2 delivery requirements into resource curves</t>
  </si>
  <si>
    <t xml:space="preserve">Chilled Water Utility</t>
  </si>
  <si>
    <t xml:space="preserve">Offsite cooling, cost incoporates energy use which OSBL in Davis 2016,</t>
  </si>
  <si>
    <t xml:space="preserve">Fixed Costs</t>
  </si>
  <si>
    <t xml:space="preserve">Capital Depreciation</t>
  </si>
  <si>
    <t xml:space="preserve">Readjusting for increased liner cost</t>
  </si>
  <si>
    <t xml:space="preserve">Income Tax</t>
  </si>
  <si>
    <t xml:space="preserve">ROI</t>
  </si>
  <si>
    <t xml:space="preserve">Total</t>
  </si>
  <si>
    <t xml:space="preserve">Need to consider how much does cooling/CC increase the power requirement at a large scale?</t>
  </si>
  <si>
    <t xml:space="preserve">Land Price</t>
  </si>
  <si>
    <t xml:space="preserve">$ per facility</t>
  </si>
  <si>
    <t xml:space="preserve">Appendix C, Crediting land due to land allocation in GCAM</t>
  </si>
  <si>
    <t xml:space="preserve">Land Credit</t>
  </si>
  <si>
    <t xml:space="preserve">$ per t</t>
  </si>
  <si>
    <t xml:space="preserve">Fully Lined Cost</t>
  </si>
  <si>
    <t xml:space="preserve">Liner Cost 7.11m2 + 31.4% Indirect Cost (Table 10) for remaining 90% coverage: SEEMS HIGH for Liners?</t>
  </si>
  <si>
    <t xml:space="preserve">Liner Cost</t>
  </si>
  <si>
    <t xml:space="preserve">Recalc Cost of Capital </t>
  </si>
  <si>
    <t xml:space="preserve">Capital Charge Factor</t>
  </si>
  <si>
    <t xml:space="preserve">Cap Depreciation + Tax + ROI</t>
  </si>
  <si>
    <t xml:space="preserve">ES-1 TCI</t>
  </si>
  <si>
    <t xml:space="preserve">New TCI</t>
  </si>
  <si>
    <t xml:space="preserve">New Cost of Capital</t>
  </si>
  <si>
    <t xml:space="preserve">CALC: nonLandVariableCost ($1975/kg)</t>
  </si>
  <si>
    <t xml:space="preserve">Disaggregrated Value</t>
  </si>
  <si>
    <t xml:space="preserve">$2011/t</t>
  </si>
  <si>
    <t xml:space="preserve">$2011/kg </t>
  </si>
  <si>
    <t xml:space="preserve">Deflator</t>
  </si>
  <si>
    <t xml:space="preserve">$2011/$1975</t>
  </si>
  <si>
    <t xml:space="preserve">Input Cost</t>
  </si>
  <si>
    <t xml:space="preserve">Cost factor</t>
  </si>
  <si>
    <t xml:space="preserve">Operational Parameters</t>
  </si>
  <si>
    <t xml:space="preserve">Table 20, Page 83</t>
  </si>
  <si>
    <t xml:space="preserve">Products</t>
  </si>
  <si>
    <t xml:space="preserve">Annual Average Rates, tonne/day</t>
  </si>
  <si>
    <r>
      <rPr>
        <sz val="10"/>
        <color rgb="FF000000"/>
        <rFont val="Arial"/>
        <family val="2"/>
        <charset val="1"/>
      </rPr>
      <t xml:space="preserve">Algal biomass (AFDW) </t>
    </r>
    <r>
      <rPr>
        <vertAlign val="superscript"/>
        <sz val="10"/>
        <color rgb="FF000000"/>
        <rFont val="Arial"/>
        <family val="2"/>
        <charset val="1"/>
      </rPr>
      <t xml:space="preserve">a</t>
    </r>
  </si>
  <si>
    <t xml:space="preserve">Algal biomass (total including ash)</t>
  </si>
  <si>
    <t xml:space="preserve">Water in biomass product stream</t>
  </si>
  <si>
    <t xml:space="preserve">Resource Consumption</t>
  </si>
  <si>
    <r>
      <rPr>
        <sz val="10"/>
        <color rgb="FF000000"/>
        <rFont val="Arial"/>
        <family val="2"/>
        <charset val="1"/>
      </rPr>
      <t xml:space="preserve">CO</t>
    </r>
    <r>
      <rPr>
        <vertAlign val="sub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 (counted as biogenic in origin)</t>
    </r>
  </si>
  <si>
    <t xml:space="preserve">DAP</t>
  </si>
  <si>
    <r>
      <rPr>
        <sz val="10"/>
        <color rgb="FF000000"/>
        <rFont val="Arial"/>
        <family val="2"/>
        <charset val="1"/>
      </rPr>
      <t xml:space="preserve">Total process water input </t>
    </r>
    <r>
      <rPr>
        <vertAlign val="superscript"/>
        <sz val="10"/>
        <color rgb="FF000000"/>
        <rFont val="Arial"/>
        <family val="2"/>
        <charset val="1"/>
      </rPr>
      <t xml:space="preserve">b</t>
    </r>
  </si>
  <si>
    <r>
      <rPr>
        <sz val="10"/>
        <color rgb="FF000000"/>
        <rFont val="Arial"/>
        <family val="2"/>
        <charset val="1"/>
      </rPr>
      <t xml:space="preserve">Electricity demand, kWh/day </t>
    </r>
    <r>
      <rPr>
        <vertAlign val="superscript"/>
        <sz val="10"/>
        <color rgb="FF000000"/>
        <rFont val="Arial"/>
        <family val="2"/>
        <charset val="1"/>
      </rPr>
      <t xml:space="preserve">c</t>
    </r>
  </si>
  <si>
    <t xml:space="preserve">Output Streams</t>
  </si>
  <si>
    <t xml:space="preserve">Water lost to blowdown</t>
  </si>
  <si>
    <t xml:space="preserve">Algae lost in blowdown</t>
  </si>
  <si>
    <t xml:space="preserve">Air Emissions</t>
  </si>
  <si>
    <t xml:space="preserve">Water lost to evaporation</t>
  </si>
  <si>
    <r>
      <rPr>
        <sz val="10"/>
        <color rgb="FF000000"/>
        <rFont val="Arial"/>
        <family val="2"/>
        <charset val="1"/>
      </rPr>
      <t xml:space="preserve">CO</t>
    </r>
    <r>
      <rPr>
        <vertAlign val="sub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 outgassing from ponds (counted as biogenic)</t>
    </r>
  </si>
  <si>
    <r>
      <rPr>
        <sz val="10"/>
        <color rgb="FF000000"/>
        <rFont val="Arial"/>
        <family val="2"/>
        <charset val="1"/>
      </rPr>
      <t xml:space="preserve">O</t>
    </r>
    <r>
      <rPr>
        <vertAlign val="sub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 from ponds</t>
    </r>
  </si>
  <si>
    <t xml:space="preserve">Algal biomass (AFDW) t/day</t>
  </si>
  <si>
    <t xml:space="preserve">Algal biomass (AFDW) kg/m2/year</t>
  </si>
  <si>
    <t xml:space="preserve">Electricity demand, kWh/year</t>
  </si>
  <si>
    <t xml:space="preserve">CALC: electricity input</t>
  </si>
  <si>
    <t xml:space="preserve">Baseline Operations</t>
  </si>
  <si>
    <t xml:space="preserve">kWh/t</t>
  </si>
  <si>
    <t xml:space="preserve">GJ/kWh</t>
  </si>
  <si>
    <t xml:space="preserve">E_factor</t>
  </si>
  <si>
    <t xml:space="preserve">GJ / t (MJ/kg)</t>
  </si>
  <si>
    <t xml:space="preserve">Currently ignoring CC energy requirements </t>
  </si>
  <si>
    <t xml:space="preserve">Chiller </t>
  </si>
  <si>
    <t xml:space="preserve">Chilled water Demand (GJ/hr)</t>
  </si>
  <si>
    <t xml:space="preserve">Chilled water Demand (GJ/year)</t>
  </si>
  <si>
    <t xml:space="preserve">Chilled water Demand (GJ/t)</t>
  </si>
  <si>
    <t xml:space="preserve">Carbon Capture</t>
  </si>
  <si>
    <t xml:space="preserve">Total CO2 Demand (t CO2/t Algae)</t>
  </si>
  <si>
    <t xml:space="preserve">Monoethanolamine (t/t)</t>
  </si>
  <si>
    <t xml:space="preserve">page 84</t>
  </si>
  <si>
    <t xml:space="preserve">Energy (MJ/tCO2 captured)</t>
  </si>
  <si>
    <t xml:space="preserve">Energy (GJ/t algae)</t>
  </si>
  <si>
    <t xml:space="preserve">&lt;-should be treated as primary electricity or as a cost to the production</t>
  </si>
  <si>
    <t xml:space="preserve">Ammonia Emissions (t NH3/t CO2)</t>
  </si>
  <si>
    <t xml:space="preserve">Energy (kWh algae)</t>
  </si>
  <si>
    <t xml:space="preserve">MJ/t</t>
  </si>
  <si>
    <t xml:space="preserve">Elect Cost</t>
  </si>
  <si>
    <t xml:space="preserve">Need to Review</t>
  </si>
  <si>
    <t xml:space="preserve">Amortized Costs </t>
  </si>
  <si>
    <t xml:space="preserve">t/t biomass</t>
  </si>
  <si>
    <t xml:space="preserve">CALC: Resource inputs</t>
  </si>
  <si>
    <t xml:space="preserve">CO2 (counted as biogenic in origin)</t>
  </si>
  <si>
    <t xml:space="preserve">t/t</t>
  </si>
  <si>
    <t xml:space="preserve">static</t>
  </si>
  <si>
    <t xml:space="preserve">Water</t>
  </si>
  <si>
    <t xml:space="preserve">yield dependant</t>
  </si>
  <si>
    <t xml:space="preserve">Water coefficient</t>
  </si>
  <si>
    <t xml:space="preserve">t/m2/year</t>
  </si>
  <si>
    <t xml:space="preserve">Other Parameters (for future)</t>
  </si>
  <si>
    <t xml:space="preserve">Mass of output stream</t>
  </si>
  <si>
    <t xml:space="preserve">Drying using ALU Drying Parameters (Davis et al, 2014, NREL)</t>
  </si>
  <si>
    <t xml:space="preserve">http://www.nrel.gov/docs/fy14osti/62368.pdf</t>
  </si>
  <si>
    <t xml:space="preserve">Drying algal biomass for food consumption</t>
  </si>
  <si>
    <t xml:space="preserve">Agriculture/AltFood</t>
  </si>
  <si>
    <t xml:space="preserve">/kg Dried Algae</t>
  </si>
  <si>
    <t xml:space="preserve">Biomass Input (kg)</t>
  </si>
  <si>
    <t xml:space="preserve">AltFood_Algae</t>
  </si>
  <si>
    <t xml:space="preserve">GlobalTechCoef</t>
  </si>
  <si>
    <t xml:space="preserve">Heat, GJ</t>
  </si>
  <si>
    <t xml:space="preserve">AltFood_wholesale_gas</t>
  </si>
  <si>
    <t xml:space="preserve">wholesale gas</t>
  </si>
  <si>
    <t xml:space="preserve">&lt;&lt;--- Change between "wholesale gas" or "global solar resource"</t>
  </si>
  <si>
    <t xml:space="preserve">Power, GJ</t>
  </si>
  <si>
    <t xml:space="preserve">AltFood_electricity</t>
  </si>
  <si>
    <t xml:space="preserve">Total Costs $1975</t>
  </si>
  <si>
    <t xml:space="preserve">AltFood_input_cost</t>
  </si>
  <si>
    <t xml:space="preserve">GlobalTechCost</t>
  </si>
  <si>
    <t xml:space="preserve">Variable Costs, $1975</t>
  </si>
  <si>
    <t xml:space="preserve">Future</t>
  </si>
  <si>
    <t xml:space="preserve">Fixed Costs, $1975</t>
  </si>
  <si>
    <t xml:space="preserve">Capital Depreciation, $1975</t>
  </si>
  <si>
    <t xml:space="preserve">Income Tax+ROI, $1975</t>
  </si>
  <si>
    <t xml:space="preserve">Operating Parameters</t>
  </si>
  <si>
    <t xml:space="preserve">$2011/$1975 Conversion</t>
  </si>
  <si>
    <t xml:space="preserve">Average algae flow rate</t>
  </si>
  <si>
    <t xml:space="preserve">MT/day, dry</t>
  </si>
  <si>
    <t xml:space="preserve">(page 10)</t>
  </si>
  <si>
    <t xml:space="preserve">Operation percentage</t>
  </si>
  <si>
    <t xml:space="preserve">-</t>
  </si>
  <si>
    <t xml:space="preserve">Hourly flow rate, operating</t>
  </si>
  <si>
    <t xml:space="preserve">kg/hr</t>
  </si>
  <si>
    <t xml:space="preserve">(consistent with value for scaled pretreatment flow-rate in Page 83, Appendix A, A100)</t>
  </si>
  <si>
    <t xml:space="preserve">Yearly produced dried algae product</t>
  </si>
  <si>
    <t xml:space="preserve">MT/yr</t>
  </si>
  <si>
    <t xml:space="preserve">Summer flowrate</t>
  </si>
  <si>
    <t xml:space="preserve">MT/day dry </t>
  </si>
  <si>
    <t xml:space="preserve">(page 11, Figure 3)</t>
  </si>
  <si>
    <t xml:space="preserve">Facility Redesign </t>
  </si>
  <si>
    <t xml:space="preserve">Calculation of natural gas requirement</t>
  </si>
  <si>
    <t xml:space="preserve">New flowrate</t>
  </si>
  <si>
    <t xml:space="preserve">BTU/yr</t>
  </si>
  <si>
    <t xml:space="preserve">Using the ALU report as a basis, A100 - drying part</t>
  </si>
  <si>
    <t xml:space="preserve">Direct CAPEX</t>
  </si>
  <si>
    <t xml:space="preserve">$</t>
  </si>
  <si>
    <t xml:space="preserve">scaling exponent and data from Appendix A</t>
  </si>
  <si>
    <t xml:space="preserve">Variable OM</t>
  </si>
  <si>
    <t xml:space="preserve">$/yr</t>
  </si>
  <si>
    <t xml:space="preserve">Required natural gas</t>
  </si>
  <si>
    <t xml:space="preserve">GJ/yr</t>
  </si>
  <si>
    <t xml:space="preserve">Required electricity</t>
  </si>
  <si>
    <t xml:space="preserve">A600 (storage, assumed to hold the same volume of biomass than WE)</t>
  </si>
  <si>
    <t xml:space="preserve">Table 16, Installed costs</t>
  </si>
  <si>
    <t xml:space="preserve">Table 18</t>
  </si>
  <si>
    <t xml:space="preserve">Capital Costs</t>
  </si>
  <si>
    <t xml:space="preserve">Additional direct capital expenses (see Table 16)</t>
  </si>
  <si>
    <t xml:space="preserve">% Installed costs, excluding A100</t>
  </si>
  <si>
    <t xml:space="preserve">Warehouse</t>
  </si>
  <si>
    <t xml:space="preserve">Site Development</t>
  </si>
  <si>
    <t xml:space="preserve">Additional piping</t>
  </si>
  <si>
    <t xml:space="preserve">Total direct costs</t>
  </si>
  <si>
    <t xml:space="preserve">Additional indirect capital expenses (see Table 16)</t>
  </si>
  <si>
    <t xml:space="preserve">% of Direct Costs </t>
  </si>
  <si>
    <t xml:space="preserve">Cost, $</t>
  </si>
  <si>
    <t xml:space="preserve">Prorateable expenses</t>
  </si>
  <si>
    <t xml:space="preserve">Field expenses</t>
  </si>
  <si>
    <t xml:space="preserve">Home office &amp; construction fee</t>
  </si>
  <si>
    <t xml:space="preserve">Project contingency</t>
  </si>
  <si>
    <t xml:space="preserve">Other costs (start'ups, permits)</t>
  </si>
  <si>
    <t xml:space="preserve">Total indirect costs</t>
  </si>
  <si>
    <t xml:space="preserve">Fixed capital investment</t>
  </si>
  <si>
    <t xml:space="preserve">Assumed to be divided by 4, much less space is required here compared to WE</t>
  </si>
  <si>
    <t xml:space="preserve">Working capital</t>
  </si>
  <si>
    <t xml:space="preserve">% of FCI</t>
  </si>
  <si>
    <t xml:space="preserve">Total capital investment</t>
  </si>
  <si>
    <t xml:space="preserve">$2011</t>
  </si>
  <si>
    <t xml:space="preserve">Total variable operating costs</t>
  </si>
  <si>
    <t xml:space="preserve">$2011/yr</t>
  </si>
  <si>
    <t xml:space="preserve">excluding natural gas and electricity!</t>
  </si>
  <si>
    <t xml:space="preserve">Total natural gas requirement</t>
  </si>
  <si>
    <t xml:space="preserve">Total electricity requirement</t>
  </si>
  <si>
    <t xml:space="preserve">Fixed Operating Costs</t>
  </si>
  <si>
    <t xml:space="preserve">Labor</t>
  </si>
  <si>
    <t xml:space="preserve">Adjustment of fixed OM costs (Table 19)</t>
  </si>
  <si>
    <t xml:space="preserve">2011 salary</t>
  </si>
  <si>
    <t xml:space="preserve">Assumed #</t>
  </si>
  <si>
    <t xml:space="preserve">Total cost</t>
  </si>
  <si>
    <t xml:space="preserve">Shift supervisor</t>
  </si>
  <si>
    <t xml:space="preserve">Minimal staffing assumption for drying facility</t>
  </si>
  <si>
    <t xml:space="preserve">Shift operators</t>
  </si>
  <si>
    <t xml:space="preserve">Total salaries</t>
  </si>
  <si>
    <t xml:space="preserve">Labor burden (90%)</t>
  </si>
  <si>
    <t xml:space="preserve">Maintenance</t>
  </si>
  <si>
    <t xml:space="preserve">% of ISBL</t>
  </si>
  <si>
    <t xml:space="preserve">Property insurance</t>
  </si>
  <si>
    <t xml:space="preserve">Total fixed operating costs</t>
  </si>
  <si>
    <t xml:space="preserve">Capital Analysis</t>
  </si>
  <si>
    <t xml:space="preserve">Capital Charge Factor (ES-1, fraction avg. cap. Deprc., tax, ROI of TCI)</t>
  </si>
  <si>
    <t xml:space="preserve">Capital depreciation</t>
  </si>
  <si>
    <t xml:space="preserve">Average income tax</t>
  </si>
  <si>
    <t xml:space="preserve">Average return on investment</t>
  </si>
  <si>
    <t xml:space="preserve">Ratio</t>
  </si>
  <si>
    <t xml:space="preserve">Adjusted </t>
  </si>
  <si>
    <t xml:space="preserve">Average income tax+average ROI</t>
  </si>
  <si>
    <t xml:space="preserve">Wet Extraction modeled from Manganaro 2015</t>
  </si>
  <si>
    <t xml:space="preserve">http://doi.wiley.com/10.1002/bbb.1610</t>
  </si>
  <si>
    <t xml:space="preserve">Modified here to remove cultivation, harvesting, hydrotreatment and nutraceutical models </t>
  </si>
  <si>
    <t xml:space="preserve">Output is regionalBiomass Oil (for upgrading)</t>
  </si>
  <si>
    <t xml:space="preserve">algae Oil</t>
  </si>
  <si>
    <t xml:space="preserve">Food</t>
  </si>
  <si>
    <t xml:space="preserve">/kg LEA</t>
  </si>
  <si>
    <t xml:space="preserve">/GJ</t>
  </si>
  <si>
    <t xml:space="preserve">WE_Algae</t>
  </si>
  <si>
    <t xml:space="preserve">WE_wholesale_gas</t>
  </si>
  <si>
    <t xml:space="preserve">WE_electricity</t>
  </si>
  <si>
    <t xml:space="preserve">Secondary Output (algae oil)</t>
  </si>
  <si>
    <t xml:space="preserve">WE_SecOut_BiomassOil</t>
  </si>
  <si>
    <t xml:space="preserve">WE_SecOut_AltFood_LV</t>
  </si>
  <si>
    <t xml:space="preserve">GlobalSecOut</t>
  </si>
  <si>
    <t xml:space="preserve">Total $</t>
  </si>
  <si>
    <t xml:space="preserve">WE_input_cost</t>
  </si>
  <si>
    <t xml:space="preserve">t/day, dry</t>
  </si>
  <si>
    <t xml:space="preserve">Manganaro spreadsheet</t>
  </si>
  <si>
    <t xml:space="preserve">Oil content</t>
  </si>
  <si>
    <t xml:space="preserve">Table 1, Manganaro, 2014</t>
  </si>
  <si>
    <t xml:space="preserve">Extraction efficiency</t>
  </si>
  <si>
    <t xml:space="preserve">Algal oil HHV</t>
  </si>
  <si>
    <t xml:space="preserve">GJ/t</t>
  </si>
  <si>
    <t xml:space="preserve">from various internet sources for vegetal oil, to be double-checked!!!</t>
  </si>
  <si>
    <t xml:space="preserve">t/day dry </t>
  </si>
  <si>
    <t xml:space="preserve">adapted to Manganaro, that assumes constant flowrate</t>
  </si>
  <si>
    <t xml:space="preserve">t/US Ton</t>
  </si>
  <si>
    <t xml:space="preserve">Yearly Biomass Requirement</t>
  </si>
  <si>
    <t xml:space="preserve">t/yr</t>
  </si>
  <si>
    <t xml:space="preserve">Yearly produced LEA</t>
  </si>
  <si>
    <t xml:space="preserve">Yearly produced oil</t>
  </si>
  <si>
    <t xml:space="preserve">Yearly produced oil, energy</t>
  </si>
  <si>
    <t xml:space="preserve">Yearly produced fuel, after hydrotreatment</t>
  </si>
  <si>
    <t xml:space="preserve">bbl/yr</t>
  </si>
  <si>
    <t xml:space="preserve">Animal feed plant (drying and conditioning of LEA) - Based on Manganaro et al, 2014, spreadsheet</t>
  </si>
  <si>
    <t xml:space="preserve">CAPEX AF Plant</t>
  </si>
  <si>
    <t xml:space="preserve">Spreadsheet 'Economics' tab</t>
  </si>
  <si>
    <t xml:space="preserve">MM$/yr</t>
  </si>
  <si>
    <t xml:space="preserve">Besides heat, capital and labor, no other expenses listed on 'Economics' tab for that part of the process</t>
  </si>
  <si>
    <t xml:space="preserve">No electricity requirement listed on 'Economics' tab</t>
  </si>
  <si>
    <t xml:space="preserve">Calculation of natural gas requirement AF plant, based on ALU report</t>
  </si>
  <si>
    <t xml:space="preserve">Initial moisture content Manganaro</t>
  </si>
  <si>
    <t xml:space="preserve">Initial moisture content ALU</t>
  </si>
  <si>
    <t xml:space="preserve">Final moisture content, both Manganaro &amp; ALU</t>
  </si>
  <si>
    <t xml:space="preserve">Specific natural gas flowrate for ALU</t>
  </si>
  <si>
    <t xml:space="preserve">GJ/t biomass processed</t>
  </si>
  <si>
    <t xml:space="preserve">Corrected mass flow rate for Manganaro</t>
  </si>
  <si>
    <t xml:space="preserve">This is to account for the extra-humidity of the biomass</t>
  </si>
  <si>
    <t xml:space="preserve">Yearly required natural gas</t>
  </si>
  <si>
    <t xml:space="preserve">Lipid extraction unit</t>
  </si>
  <si>
    <t xml:space="preserve">Original numbers from ALU report have been kept, since no details for the extraction only process are available from Manganaro et al, 2014</t>
  </si>
  <si>
    <t xml:space="preserve">Data from Table 18, adapted to new flow rate</t>
  </si>
  <si>
    <t xml:space="preserve">Scale-up of A300 (receives less flow in ALU report, since A200 produces EtOH that go to storage)</t>
  </si>
  <si>
    <t xml:space="preserve">Original flow rate</t>
  </si>
  <si>
    <t xml:space="preserve">Appendix A, Table for A300, scaled value for input to extraction column</t>
  </si>
  <si>
    <t xml:space="preserve">New flow rate</t>
  </si>
  <si>
    <t xml:space="preserve">considering that all algae go there, without going for EtOH production first</t>
  </si>
  <si>
    <t xml:space="preserve">Scale-up exponent for capital costs</t>
  </si>
  <si>
    <t xml:space="preserve">assumed to be the average value for economies of scale</t>
  </si>
  <si>
    <t xml:space="preserve">Original Direct CAPEX</t>
  </si>
  <si>
    <t xml:space="preserve">Original power required</t>
  </si>
  <si>
    <t xml:space="preserve">kWh/bbl</t>
  </si>
  <si>
    <t xml:space="preserve">Spreadsheet 'Economics' tab, including contacting/extraction and centrifuge for biomass (PEAR)</t>
  </si>
  <si>
    <t xml:space="preserve">New power required</t>
  </si>
  <si>
    <t xml:space="preserve">GJ/bbl</t>
  </si>
  <si>
    <t xml:space="preserve">Calculation of natural gas requirement for A300</t>
  </si>
  <si>
    <t xml:space="preserve">Original heat required</t>
  </si>
  <si>
    <t xml:space="preserve">MBTU/h</t>
  </si>
  <si>
    <t xml:space="preserve">Spreadsheet 'Economics' tab, accounting for heat required for streams 8 and 9</t>
  </si>
  <si>
    <t xml:space="preserve">New heat requirement</t>
  </si>
  <si>
    <t xml:space="preserve">GJ/h</t>
  </si>
  <si>
    <t xml:space="preserve">Calculation of solvent (hexane) requirement for lipid extraction</t>
  </si>
  <si>
    <t xml:space="preserve">Solvent lost</t>
  </si>
  <si>
    <t xml:space="preserve">kg lost per kg sludge</t>
  </si>
  <si>
    <t xml:space="preserve">Beal et al/Tech-Fin validation datasheet</t>
  </si>
  <si>
    <t xml:space="preserve">New solvent costs</t>
  </si>
  <si>
    <t xml:space="preserve">kg lost per kg algae</t>
  </si>
  <si>
    <t xml:space="preserve">Assuming a 20% TS content in sludge</t>
  </si>
  <si>
    <t xml:space="preserve">Yearly replacement</t>
  </si>
  <si>
    <t xml:space="preserve">kg/yr</t>
  </si>
  <si>
    <t xml:space="preserve">Solvent price</t>
  </si>
  <si>
    <t xml:space="preserve">$/lb</t>
  </si>
  <si>
    <t xml:space="preserve">Table 17 from ALU report</t>
  </si>
  <si>
    <t xml:space="preserve">Solvent requirement</t>
  </si>
  <si>
    <t xml:space="preserve">Conversion kg to lb</t>
  </si>
  <si>
    <t xml:space="preserve">Calculation of sulfuric acid requirement for conditioning before LE</t>
  </si>
  <si>
    <t xml:space="preserve">Cost per algae processed</t>
  </si>
  <si>
    <t xml:space="preserve">$/MT algae</t>
  </si>
  <si>
    <t xml:space="preserve">Yearly costs</t>
  </si>
  <si>
    <t xml:space="preserve">assumed to be similar to ALU report, Table 16</t>
  </si>
  <si>
    <t xml:space="preserve">Original #</t>
  </si>
  <si>
    <t xml:space="preserve">Adjustement</t>
  </si>
  <si>
    <t xml:space="preserve">Revised #</t>
  </si>
  <si>
    <t xml:space="preserve">Plant manager</t>
  </si>
  <si>
    <t xml:space="preserve">Plant engineer</t>
  </si>
  <si>
    <t xml:space="preserve">Maintenance supervisor</t>
  </si>
  <si>
    <t xml:space="preserve">Maintenance technician</t>
  </si>
  <si>
    <t xml:space="preserve">Less equipment, so less maintenance in the new set-up</t>
  </si>
  <si>
    <t xml:space="preserve">Lab manager</t>
  </si>
  <si>
    <t xml:space="preserve">Lab technician</t>
  </si>
  <si>
    <t xml:space="preserve">No EtOH prod, no Hydrotreat, no AD, so less analyses required</t>
  </si>
  <si>
    <t xml:space="preserve">Less processes, so less operators required</t>
  </si>
  <si>
    <t xml:space="preserve">Yard employees</t>
  </si>
  <si>
    <t xml:space="preserve">Clerks and secretaries</t>
  </si>
  <si>
    <t xml:space="preserve">Other</t>
  </si>
  <si>
    <t xml:space="preserve">Wet Extraction modeled from ALU report (Davis et al, 2014, NREL)</t>
  </si>
  <si>
    <t xml:space="preserve">Current process design report modeling the wet extraction of oil from algal biomass</t>
  </si>
  <si>
    <t xml:space="preserve">Report models, fermentation pretreatment and AD of residue for nutrient recycling and process energy</t>
  </si>
  <si>
    <t xml:space="preserve">Modified here to remove AD, fermentation to generate LEA coproduct</t>
  </si>
  <si>
    <t xml:space="preserve">Secondary Output</t>
  </si>
  <si>
    <t xml:space="preserve">Normalized to Primary Output Product: Need to Confirm</t>
  </si>
  <si>
    <t xml:space="preserve">Table 1, page 13</t>
  </si>
  <si>
    <t xml:space="preserve">Target value for ALU</t>
  </si>
  <si>
    <t xml:space="preserve">A100 (redesigned to dry only LEA algae, scaled up to summer)</t>
  </si>
  <si>
    <t xml:space="preserve">A100 - initial seasonal dryer and additional dryer for LEA drying after lipid extraction</t>
  </si>
  <si>
    <t xml:space="preserve">Initial CAPEX</t>
  </si>
  <si>
    <t xml:space="preserve">Appendix A</t>
  </si>
  <si>
    <t xml:space="preserve">Inital flowrate</t>
  </si>
  <si>
    <t xml:space="preserve">kg/h</t>
  </si>
  <si>
    <t xml:space="preserve">Flowrate of LEA </t>
  </si>
  <si>
    <t xml:space="preserve">Scaled up for summer flow rate</t>
  </si>
  <si>
    <t xml:space="preserve">Scaling exponent</t>
  </si>
  <si>
    <t xml:space="preserve">CAPEX new dryer</t>
  </si>
  <si>
    <t xml:space="preserve">Scaled up for LEA during summer flow rate</t>
  </si>
  <si>
    <t xml:space="preserve">Appendix A, dryer costs only</t>
  </si>
  <si>
    <t xml:space="preserve">Table 18, excluding feedstock and natural gas for drying</t>
  </si>
  <si>
    <t xml:space="preserve">assumed to be negligible compared to A300 requirements</t>
  </si>
  <si>
    <t xml:space="preserve">Calculation of natural gas requirement for A100</t>
  </si>
  <si>
    <t xml:space="preserve">Natural gas costs</t>
  </si>
  <si>
    <t xml:space="preserve">Price of natural gas</t>
  </si>
  <si>
    <t xml:space="preserve">$/kft3</t>
  </si>
  <si>
    <t xml:space="preserve">LHV natural gas</t>
  </si>
  <si>
    <t xml:space="preserve">BTU/ft3</t>
  </si>
  <si>
    <t xml:space="preserve">Additional gas dryer</t>
  </si>
  <si>
    <t xml:space="preserve">A300 (lipid extraction, scaled up to summer)</t>
  </si>
  <si>
    <t xml:space="preserve">MW</t>
  </si>
  <si>
    <t xml:space="preserve">Calculated from Figure 13</t>
  </si>
  <si>
    <t xml:space="preserve">Gcal/hr </t>
  </si>
  <si>
    <t xml:space="preserve">Email from Jennifer Markham, 01/23/17</t>
  </si>
  <si>
    <t xml:space="preserve">Calculation of solvent (hexane) requirement for A300</t>
  </si>
  <si>
    <t xml:space="preserve">Original solvent costs</t>
  </si>
  <si>
    <t xml:space="preserve">Table 17</t>
  </si>
  <si>
    <t xml:space="preserve">A600 (storage, assumed to hold algal oil and LEA for feed)</t>
  </si>
  <si>
    <t xml:space="preserve">A700 (utilities)</t>
  </si>
  <si>
    <t xml:space="preserve">Table 18, excluding natural gas for heating</t>
  </si>
  <si>
    <t xml:space="preserve">not included here, since this is assumed to be accounted for in the A100/A300 requirements</t>
  </si>
  <si>
    <t xml:space="preserve">Hydrotreatment modeled from Manganaro 2015</t>
  </si>
  <si>
    <t xml:space="preserve">Modified here to keep just the hydrotreatment stage of extracted algal oil after wet extraction process</t>
  </si>
  <si>
    <t xml:space="preserve">Output is refined liquids</t>
  </si>
  <si>
    <t xml:space="preserve">Hydrotreat WE</t>
  </si>
  <si>
    <t xml:space="preserve">Energy</t>
  </si>
  <si>
    <t xml:space="preserve">Oil Input (GJ)</t>
  </si>
  <si>
    <t xml:space="preserve">Capital costs from hydrotreatment</t>
  </si>
  <si>
    <t xml:space="preserve">Capacity of modeled process</t>
  </si>
  <si>
    <t xml:space="preserve">bbl/day</t>
  </si>
  <si>
    <t xml:space="preserve">Estimated direct capital costs</t>
  </si>
  <si>
    <t xml:space="preserve">Capital charge factor</t>
  </si>
  <si>
    <t xml:space="preserve">assumed to be constant for all technologies</t>
  </si>
  <si>
    <t xml:space="preserve">Land is neglected here</t>
  </si>
  <si>
    <t xml:space="preserve">Average income tax + average ROI</t>
  </si>
  <si>
    <t xml:space="preserve">Variable costs from hydrotreatment (excluding heat and electricity)</t>
  </si>
  <si>
    <t xml:space="preserve">Hydrogen</t>
  </si>
  <si>
    <t xml:space="preserve">Catalyst</t>
  </si>
  <si>
    <t xml:space="preserve">Hydrotreatment purge gas fuel credit</t>
  </si>
  <si>
    <t xml:space="preserve">Nutraceutical credit</t>
  </si>
  <si>
    <t xml:space="preserve">Nutraceutical initial oil credit</t>
  </si>
  <si>
    <t xml:space="preserve">Nutraceutical inital price</t>
  </si>
  <si>
    <t xml:space="preserve">Nutraceutical actual price</t>
  </si>
  <si>
    <t xml:space="preserve">Hydrogen price per unit</t>
  </si>
  <si>
    <t xml:space="preserve">Hydrogen requirement</t>
  </si>
  <si>
    <t xml:space="preserve">Fixed costs from hydrotreatment</t>
  </si>
  <si>
    <t xml:space="preserve">Number of operators for hydrotreatment</t>
  </si>
  <si>
    <t xml:space="preserve">Cost of 1 operator</t>
  </si>
  <si>
    <t xml:space="preserve">Electricity requirement</t>
  </si>
  <si>
    <t xml:space="preserve">Required electricity for HT</t>
  </si>
  <si>
    <t xml:space="preserve">Heat requirement</t>
  </si>
  <si>
    <t xml:space="preserve">Required heat for HT</t>
  </si>
  <si>
    <t xml:space="preserve">Key numbers and conversion factors</t>
  </si>
  <si>
    <t xml:space="preserve">Conversion bbl to L</t>
  </si>
  <si>
    <t xml:space="preserve">L/bbl</t>
  </si>
  <si>
    <t xml:space="preserve">Energy value of hydrotreated algal oil</t>
  </si>
  <si>
    <t xml:space="preserve">MJ/kg</t>
  </si>
  <si>
    <t xml:space="preserve">assumed to be equivalent to diesel</t>
  </si>
  <si>
    <t xml:space="preserve">Density of hydrotreated algal oil</t>
  </si>
  <si>
    <t xml:space="preserve">kg/L</t>
  </si>
  <si>
    <t xml:space="preserve">Energy value of algal oil</t>
  </si>
  <si>
    <t xml:space="preserve">Efficiency of hydrotreatment</t>
  </si>
  <si>
    <t xml:space="preserve">kg HTAO/kg AO</t>
  </si>
  <si>
    <t xml:space="preserve">Conversion lb to kg</t>
  </si>
  <si>
    <t xml:space="preserve">kg/lb</t>
  </si>
  <si>
    <t xml:space="preserve">Yearly produced diesel, in energy units</t>
  </si>
  <si>
    <t xml:space="preserve">Yearly processed algal oil, in energy units</t>
  </si>
  <si>
    <t xml:space="preserve">Conversion $2011 to $1975</t>
  </si>
  <si>
    <t xml:space="preserve">HTL with CHG+CHP method of (Jones et al, 2014, NREL)</t>
  </si>
  <si>
    <t xml:space="preserve">https://hydrogen.gov/bioenergy/pdfs/pnnl_whole_algae_liquefaction.pdf</t>
  </si>
  <si>
    <t xml:space="preserve">Includes oil and naptha production</t>
  </si>
  <si>
    <t xml:space="preserve">No changes to capital model</t>
  </si>
  <si>
    <t xml:space="preserve">algae HTL</t>
  </si>
  <si>
    <t xml:space="preserve">Energy/refined liquids</t>
  </si>
  <si>
    <t xml:space="preserve">HTL_Algae</t>
  </si>
  <si>
    <t xml:space="preserve">HTL_wholesale_gas</t>
  </si>
  <si>
    <t xml:space="preserve">HTL_elect_td_ind</t>
  </si>
  <si>
    <t xml:space="preserve">HTL_input_cost</t>
  </si>
  <si>
    <t xml:space="preserve">Secondary Output: N fertilizer</t>
  </si>
  <si>
    <t xml:space="preserve">HTL_SecOut_N_fertilizer</t>
  </si>
  <si>
    <t xml:space="preserve">GlobalTechSecOutput</t>
  </si>
  <si>
    <t xml:space="preserve">kg/GJ confirmed</t>
  </si>
  <si>
    <t xml:space="preserve">Secondary Output: P fertilizer</t>
  </si>
  <si>
    <t xml:space="preserve">HTL_SecOut_P_fertilizer</t>
  </si>
  <si>
    <t xml:space="preserve">Secondary Output: CO2 fertilizer</t>
  </si>
  <si>
    <t xml:space="preserve">HTL_SecOut_CO2_CCU</t>
  </si>
  <si>
    <t xml:space="preserve">t / US ton</t>
  </si>
  <si>
    <t xml:space="preserve">Algae Demand</t>
  </si>
  <si>
    <t xml:space="preserve">pounds</t>
  </si>
  <si>
    <t xml:space="preserve">Annual Algae Demand</t>
  </si>
  <si>
    <t xml:space="preserve">t algae</t>
  </si>
  <si>
    <t xml:space="preserve">Table ES-1 </t>
  </si>
  <si>
    <t xml:space="preserve">L/gal</t>
  </si>
  <si>
    <t xml:space="preserve">Diesel Fuel Yield</t>
  </si>
  <si>
    <t xml:space="preserve">gal/ US ton Algae</t>
  </si>
  <si>
    <t xml:space="preserve">Naphtha Fuel Yield</t>
  </si>
  <si>
    <t xml:space="preserve">L/ t Algae</t>
  </si>
  <si>
    <t xml:space="preserve">Deisel Energy Content</t>
  </si>
  <si>
    <t xml:space="preserve">GJ/L</t>
  </si>
  <si>
    <t xml:space="preserve">Naphta Energy Content</t>
  </si>
  <si>
    <t xml:space="preserve">Naphta </t>
  </si>
  <si>
    <t xml:space="preserve">GJ / t Algae</t>
  </si>
  <si>
    <t xml:space="preserve">Total Energy Out</t>
  </si>
  <si>
    <t xml:space="preserve">kg / GJ</t>
  </si>
  <si>
    <t xml:space="preserve">Annual Diesel</t>
  </si>
  <si>
    <t xml:space="preserve">gal</t>
  </si>
  <si>
    <t xml:space="preserve">Annual Naphtha</t>
  </si>
  <si>
    <t xml:space="preserve">GJ</t>
  </si>
  <si>
    <t xml:space="preserve">Annual GJ Output</t>
  </si>
  <si>
    <t xml:space="preserve">$2011-1975 Conversion</t>
  </si>
  <si>
    <t xml:space="preserve">Manufacturing Costs</t>
  </si>
  <si>
    <t xml:space="preserve">$2011/gge</t>
  </si>
  <si>
    <t xml:space="preserve">$2011/GJ</t>
  </si>
  <si>
    <t xml:space="preserve">$1975/GJ</t>
  </si>
  <si>
    <t xml:space="preserve">REMOVE</t>
  </si>
  <si>
    <t xml:space="preserve">&lt;--- Current Model removes feedstock, CH4,Elec,Naphtha,Fert</t>
  </si>
  <si>
    <t xml:space="preserve">Algae feedstock cost</t>
  </si>
  <si>
    <t xml:space="preserve">Explicity Modeled, As algae</t>
  </si>
  <si>
    <t xml:space="preserve">Natural Gas</t>
  </si>
  <si>
    <t xml:space="preserve">Explicity Modeled, As wholesale gas</t>
  </si>
  <si>
    <t xml:space="preserve">Catalysts &amp; Chemicals</t>
  </si>
  <si>
    <t xml:space="preserve">Waste Disposal</t>
  </si>
  <si>
    <t xml:space="preserve">Electricity and other utilities</t>
  </si>
  <si>
    <t xml:space="preserve">Naphtha Credit</t>
  </si>
  <si>
    <t xml:space="preserve">Incoporated into energy output, as naphtha is a refined liquid in GCAM</t>
  </si>
  <si>
    <t xml:space="preserve">Fertilizer Credit</t>
  </si>
  <si>
    <t xml:space="preserve">Explicity Modeled, as N fertilizer</t>
  </si>
  <si>
    <t xml:space="preserve">Average Income Tax </t>
  </si>
  <si>
    <t xml:space="preserve">Average ROI</t>
  </si>
  <si>
    <t xml:space="preserve">Natural Gas Demand</t>
  </si>
  <si>
    <t xml:space="preserve">Annual Cost</t>
  </si>
  <si>
    <t xml:space="preserve">Table 15</t>
  </si>
  <si>
    <t xml:space="preserve">Price</t>
  </si>
  <si>
    <t xml:space="preserve">$/SCF</t>
  </si>
  <si>
    <t xml:space="preserve">Conversion</t>
  </si>
  <si>
    <t xml:space="preserve">SCF/GJ</t>
  </si>
  <si>
    <t xml:space="preserve">$/GJ</t>
  </si>
  <si>
    <t xml:space="preserve">Annual Energy Consumption</t>
  </si>
  <si>
    <t xml:space="preserve">Energy Requirement</t>
  </si>
  <si>
    <t xml:space="preserve">ElecDemand</t>
  </si>
  <si>
    <t xml:space="preserve">$/kWh</t>
  </si>
  <si>
    <t xml:space="preserve">Annual Elec Consumption</t>
  </si>
  <si>
    <t xml:space="preserve">Recycling Parameters </t>
  </si>
  <si>
    <t xml:space="preserve">Nitrogen Recycle</t>
  </si>
  <si>
    <t xml:space="preserve">Page 21 </t>
  </si>
  <si>
    <t xml:space="preserve">Nitrogen fraction of Biomass</t>
  </si>
  <si>
    <t xml:space="preserve">From Cultivation Paper</t>
  </si>
  <si>
    <t xml:space="preserve">Recycle rate</t>
  </si>
  <si>
    <t xml:space="preserve">kg/kg</t>
  </si>
  <si>
    <t xml:space="preserve">Output</t>
  </si>
  <si>
    <t xml:space="preserve">kg/GJ</t>
  </si>
  <si>
    <t xml:space="preserve">Phosphorus Recycle</t>
  </si>
  <si>
    <t xml:space="preserve">With caveats that it is part of solid phase and will require conversion </t>
  </si>
  <si>
    <t xml:space="preserve">Carbon Recycle</t>
  </si>
  <si>
    <t xml:space="preserve">Page 22, Figure 10, Water &amp; Soilds Recycle (9%) + H2 Plant Exhaust (21%) </t>
  </si>
  <si>
    <t xml:space="preserve">Carbon Fraction Of Biomass</t>
  </si>
  <si>
    <t xml:space="preserve">Table 7</t>
  </si>
  <si>
    <t xml:space="preserve">Original flowrate</t>
  </si>
  <si>
    <t xml:space="preserve">A600 (storage, assumed to hold the same volume of biomass than WEB)</t>
  </si>
  <si>
    <t xml:space="preserve">Assumed to be divided by 4, much less space is required here compared to WEB</t>
  </si>
  <si>
    <t xml:space="preserve">base yield</t>
  </si>
  <si>
    <t xml:space="preserve">Soil Factor</t>
  </si>
  <si>
    <t xml:space="preserve">yield improvement </t>
  </si>
  <si>
    <t xml:space="preserve">per year</t>
  </si>
  <si>
    <t xml:space="preserve">Logistic App</t>
  </si>
  <si>
    <t xml:space="preserve">Logistic Improvement</t>
  </si>
  <si>
    <t xml:space="preserve">yield</t>
  </si>
  <si>
    <t xml:space="preserve">elect_td_ind</t>
  </si>
  <si>
    <t xml:space="preserve">cost</t>
  </si>
  <si>
    <t xml:space="preserve">region</t>
  </si>
  <si>
    <t xml:space="preserve">AgSupplySector</t>
  </si>
  <si>
    <t xml:space="preserve">AgSupplySubsector</t>
  </si>
  <si>
    <t xml:space="preserve">AgProductionTechnology</t>
  </si>
  <si>
    <t xml:space="preserve">veg.carbon.density</t>
  </si>
  <si>
    <t xml:space="preserve">soil.carbon.density</t>
  </si>
  <si>
    <t xml:space="preserve">AlgaeAEZ06</t>
  </si>
  <si>
    <t xml:space="preserve">AlgaeAEZ07</t>
  </si>
  <si>
    <t xml:space="preserve">AlgaeAEZ08</t>
  </si>
  <si>
    <t xml:space="preserve">AlgaeAEZ09</t>
  </si>
  <si>
    <t xml:space="preserve">AlgaeAEZ10</t>
  </si>
  <si>
    <t xml:space="preserve">AlgaeAEZ11</t>
  </si>
  <si>
    <t xml:space="preserve">AlgaeAEZ12</t>
  </si>
  <si>
    <t xml:space="preserve">Africa_Eastern</t>
  </si>
  <si>
    <t xml:space="preserve">AlgaeAEZ01</t>
  </si>
  <si>
    <t xml:space="preserve">AlgaeAEZ02</t>
  </si>
  <si>
    <t xml:space="preserve">AlgaeAEZ03</t>
  </si>
  <si>
    <t xml:space="preserve">AlgaeAEZ04</t>
  </si>
  <si>
    <t xml:space="preserve">AlgaeAEZ05</t>
  </si>
  <si>
    <t xml:space="preserve">Africa_Northern</t>
  </si>
  <si>
    <t xml:space="preserve">Africa_Southern</t>
  </si>
  <si>
    <t xml:space="preserve">Africa_Western</t>
  </si>
  <si>
    <t xml:space="preserve">Argentina</t>
  </si>
  <si>
    <t xml:space="preserve">Australia_NZ</t>
  </si>
  <si>
    <t xml:space="preserve">Brazil</t>
  </si>
  <si>
    <t xml:space="preserve">Central America and Caribbean</t>
  </si>
  <si>
    <t xml:space="preserve">Central Asia</t>
  </si>
  <si>
    <t xml:space="preserve">China</t>
  </si>
  <si>
    <t xml:space="preserve">Colombia</t>
  </si>
  <si>
    <t xml:space="preserve">EU-12</t>
  </si>
  <si>
    <t xml:space="preserve">EU-15</t>
  </si>
  <si>
    <t xml:space="preserve">Europe_Non_EU</t>
  </si>
  <si>
    <t xml:space="preserve">India</t>
  </si>
  <si>
    <t xml:space="preserve">Indonesia</t>
  </si>
  <si>
    <t xml:space="preserve">Japan</t>
  </si>
  <si>
    <t xml:space="preserve">Mexico</t>
  </si>
  <si>
    <t xml:space="preserve">Middle East</t>
  </si>
  <si>
    <t xml:space="preserve">Pakistan</t>
  </si>
  <si>
    <t xml:space="preserve">South Africa</t>
  </si>
  <si>
    <t xml:space="preserve">South America_Northern</t>
  </si>
  <si>
    <t xml:space="preserve">South America_Southern</t>
  </si>
  <si>
    <t xml:space="preserve">South Asia</t>
  </si>
  <si>
    <t xml:space="preserve">South Korea</t>
  </si>
  <si>
    <t xml:space="preserve">Southeast Asia</t>
  </si>
  <si>
    <t xml:space="preserve">Soil Carbon Content</t>
  </si>
  <si>
    <t xml:space="preserve">MgC/ha</t>
  </si>
  <si>
    <t xml:space="preserve">kgC/ha</t>
  </si>
  <si>
    <t xml:space="preserve">AEZ01</t>
  </si>
  <si>
    <t xml:space="preserve">AEZ02</t>
  </si>
  <si>
    <t xml:space="preserve">AEZ03</t>
  </si>
  <si>
    <t xml:space="preserve">AEZ04</t>
  </si>
  <si>
    <t xml:space="preserve">AEZ05</t>
  </si>
  <si>
    <t xml:space="preserve">AEZ06</t>
  </si>
  <si>
    <t xml:space="preserve">AEZ07</t>
  </si>
  <si>
    <t xml:space="preserve">AEZ08</t>
  </si>
  <si>
    <t xml:space="preserve">AEZ09</t>
  </si>
  <si>
    <t xml:space="preserve">AEZ10</t>
  </si>
  <si>
    <t xml:space="preserve">AEZ11</t>
  </si>
  <si>
    <t xml:space="preserve">AEZ12</t>
  </si>
  <si>
    <t xml:space="preserve">AEZ13</t>
  </si>
  <si>
    <t xml:space="preserve">AEZ14</t>
  </si>
  <si>
    <t xml:space="preserve">AEZ15</t>
  </si>
  <si>
    <t xml:space="preserve">AEZ16</t>
  </si>
  <si>
    <t xml:space="preserve">AEZ17</t>
  </si>
  <si>
    <t xml:space="preserve">AEZ18</t>
  </si>
  <si>
    <t xml:space="preserve"># File: Various_SoilC_tCha_LTsage_AEZ.csv</t>
  </si>
  <si>
    <t xml:space="preserve"># Description: Assumed soil carbon content by land use type and AEZ (MgC.ha)</t>
  </si>
  <si>
    <t xml:space="preserve">Canada</t>
  </si>
  <si>
    <t xml:space="preserve">Europe_Eastern</t>
  </si>
  <si>
    <t xml:space="preserve">European Free Trade Association</t>
  </si>
  <si>
    <t xml:space="preserve">Russia</t>
  </si>
  <si>
    <t xml:space="preserve">WE</t>
  </si>
  <si>
    <t xml:space="preserve">Wet Extraction</t>
  </si>
  <si>
    <t xml:space="preserve">DBF</t>
  </si>
  <si>
    <t xml:space="preserve">Direct biomass utilization for food</t>
  </si>
  <si>
    <t xml:space="preserve">HTL</t>
  </si>
  <si>
    <t xml:space="preserve">Fuel only production by HTL</t>
  </si>
  <si>
    <t xml:space="preserve">Small Facility</t>
  </si>
  <si>
    <t xml:space="preserve">Large Facility</t>
  </si>
  <si>
    <t xml:space="preserve">Use assumptions</t>
  </si>
  <si>
    <t xml:space="preserve">Annual Biomass Output</t>
  </si>
  <si>
    <t xml:space="preserve">Daily Biomass Output</t>
  </si>
  <si>
    <t xml:space="preserve">Capital Options</t>
  </si>
  <si>
    <t xml:space="preserve">Baseline Facility</t>
  </si>
  <si>
    <t xml:space="preserve">Required for production, infrastructure, PBR/inoculum ponds, water and nutrient delivery, biomass delivery, recycling, etc.</t>
  </si>
  <si>
    <t xml:space="preserve">Liners</t>
  </si>
  <si>
    <t xml:space="preserve">Liners for erosion control are included with baseline, additional liners necessary for food production to prevent ash in product</t>
  </si>
  <si>
    <t xml:space="preserve">Co-production module, linear scale</t>
  </si>
  <si>
    <t xml:space="preserve">HTL/CHG</t>
  </si>
  <si>
    <t xml:space="preserve">HTL Fuel production and CHG recycling module, powerlog scale</t>
  </si>
  <si>
    <t xml:space="preserve">Dryer &amp; Food Processor (DBF)</t>
  </si>
  <si>
    <t xml:space="preserve">Processor size necessary for fo DBF and WE food production levels</t>
  </si>
  <si>
    <t xml:space="preserve">Dryer &amp; Food Processor  (WE)</t>
  </si>
  <si>
    <t xml:space="preserve">Processor size necessary for WE food production levels only</t>
  </si>
  <si>
    <t xml:space="preserve">Fuel upgrading processor size necessary for HTL and WE fuel production levels</t>
  </si>
  <si>
    <t xml:space="preserve">Fuel upgrading processor size necessary for WE production levels only</t>
  </si>
  <si>
    <t xml:space="preserve">Working Capital</t>
  </si>
  <si>
    <t xml:space="preserve">Wetted Area</t>
  </si>
  <si>
    <t xml:space="preserve">Full Area</t>
  </si>
  <si>
    <t xml:space="preserve">Biomass Normailzed Costs</t>
  </si>
  <si>
    <t xml:space="preserve">Process </t>
  </si>
  <si>
    <t xml:space="preserve">Summer Factor</t>
  </si>
  <si>
    <t xml:space="preserve">Target Throughputs</t>
  </si>
  <si>
    <t xml:space="preserve">WE SCALES</t>
  </si>
  <si>
    <t xml:space="preserve">Baseline</t>
  </si>
  <si>
    <t xml:space="preserve">Summer</t>
  </si>
  <si>
    <t xml:space="preserve">Baseline +30 @2%</t>
  </si>
  <si>
    <t xml:space="preserve">Summer +30 @2%</t>
  </si>
  <si>
    <t xml:space="preserve">Capital &amp; Operational Scaling</t>
  </si>
  <si>
    <t xml:space="preserve">Ref</t>
  </si>
  <si>
    <t xml:space="preserve">Exp Factor</t>
  </si>
  <si>
    <t xml:space="preserve">Baseline Cost ($M)</t>
  </si>
  <si>
    <t xml:space="preserve">biomass input kg/day</t>
  </si>
  <si>
    <t xml:space="preserve">Ring Dryer</t>
  </si>
  <si>
    <t xml:space="preserve">Beal 2015</t>
  </si>
  <si>
    <t xml:space="preserve">CHG</t>
  </si>
  <si>
    <t xml:space="preserve">CHP</t>
  </si>
  <si>
    <t xml:space="preserve">OA</t>
  </si>
  <si>
    <t xml:space="preserve">Valicor</t>
  </si>
  <si>
    <t xml:space="preserve">Jones 2014</t>
  </si>
  <si>
    <t xml:space="preserve">Hydrotreratment</t>
  </si>
  <si>
    <t xml:space="preserve">Jones/Davis</t>
  </si>
  <si>
    <t xml:space="preserve">Options Matrix</t>
  </si>
  <si>
    <t xml:space="preserve">DBF,HTL</t>
  </si>
  <si>
    <t xml:space="preserve">DBF,WE</t>
  </si>
  <si>
    <t xml:space="preserve">HTL,WE</t>
  </si>
  <si>
    <t xml:space="preserve">DBF,HTL,WE</t>
  </si>
  <si>
    <t xml:space="preserve">DBF (Direct biomass to food)</t>
  </si>
  <si>
    <t xml:space="preserve">HTL (Fuel only production by HTL)</t>
  </si>
  <si>
    <t xml:space="preserve">WE (Wet Extraction)</t>
  </si>
  <si>
    <t xml:space="preserve">Expense</t>
  </si>
  <si>
    <t xml:space="preserve">Liners (for food production)</t>
  </si>
  <si>
    <t xml:space="preserve">Liners (foor food production)</t>
  </si>
  <si>
    <t xml:space="preserve">Dryer (Biomass)</t>
  </si>
  <si>
    <t xml:space="preserve">Dryer &amp; Food Processor (Biomass)</t>
  </si>
  <si>
    <t xml:space="preserve">Dryer (WE)</t>
  </si>
  <si>
    <t xml:space="preserve">Hydrotreatment (HTL)</t>
  </si>
  <si>
    <t xml:space="preserve">Hydrotreatment (WE) </t>
  </si>
  <si>
    <t xml:space="preserve">Working Capital (%FCI)</t>
  </si>
  <si>
    <t xml:space="preserve">Large FCI</t>
  </si>
  <si>
    <t xml:space="preserve">Large FCI (Millions)</t>
  </si>
  <si>
    <t xml:space="preserve">Large TCI</t>
  </si>
  <si>
    <t xml:space="preserve">Large (Millions)</t>
  </si>
  <si>
    <t xml:space="preserve">$/annual ton biomass</t>
  </si>
  <si>
    <t xml:space="preserve">SUMMER 30</t>
  </si>
  <si>
    <t xml:space="preserve">No Season</t>
  </si>
  <si>
    <t xml:space="preserve">From Davis Table 15 &amp; Jones Table 15</t>
  </si>
  <si>
    <t xml:space="preserve">Salary Increase Rate</t>
  </si>
  <si>
    <t xml:space="preserve">Annual</t>
  </si>
  <si>
    <t xml:space="preserve">Labor Burden </t>
  </si>
  <si>
    <t xml:space="preserve">Seasonal Adjust</t>
  </si>
  <si>
    <t xml:space="preserve">Labor </t>
  </si>
  <si>
    <t xml:space="preserve">Type</t>
  </si>
  <si>
    <t xml:space="preserve">Field</t>
  </si>
  <si>
    <t xml:space="preserve">2011 Salary</t>
  </si>
  <si>
    <t xml:space="preserve">2016 Salary</t>
  </si>
  <si>
    <t xml:space="preserve">Off</t>
  </si>
  <si>
    <t xml:space="preserve">Winter</t>
  </si>
  <si>
    <t xml:space="preserve">Spring</t>
  </si>
  <si>
    <t xml:space="preserve">Fall</t>
  </si>
  <si>
    <t xml:space="preserve">Plant Manager</t>
  </si>
  <si>
    <t xml:space="preserve">Fixed</t>
  </si>
  <si>
    <t xml:space="preserve">Biomass</t>
  </si>
  <si>
    <t xml:space="preserve">Plant Engineer (civil)</t>
  </si>
  <si>
    <t xml:space="preserve">Plant Engineer (environmental)</t>
  </si>
  <si>
    <t xml:space="preserve">Maintenance Supervisor</t>
  </si>
  <si>
    <t xml:space="preserve">Maintenance Technician</t>
  </si>
  <si>
    <t xml:space="preserve">Lab Manager </t>
  </si>
  <si>
    <t xml:space="preserve">Lab Technician</t>
  </si>
  <si>
    <t xml:space="preserve">Shift Supervisor </t>
  </si>
  <si>
    <t xml:space="preserve">Variable</t>
  </si>
  <si>
    <t xml:space="preserve">Module Operator - Production</t>
  </si>
  <si>
    <t xml:space="preserve">Module Operator - Inoculum</t>
  </si>
  <si>
    <t xml:space="preserve">Module Operator - Dewatering</t>
  </si>
  <si>
    <t xml:space="preserve">Plant Engineer (conversion)</t>
  </si>
  <si>
    <t xml:space="preserve">Shift Supervisor</t>
  </si>
  <si>
    <t xml:space="preserve">Shift Operators</t>
  </si>
  <si>
    <t xml:space="preserve">Clerks &amp; Secretaries</t>
  </si>
  <si>
    <t xml:space="preserve">General</t>
  </si>
  <si>
    <t xml:space="preserve">Yard Employees</t>
  </si>
  <si>
    <t xml:space="preserve">THIS &amp; THE pd.out is a bit sloppy, can be cleaned up</t>
  </si>
  <si>
    <t xml:space="preserve">Adjustment to account for differing biomass </t>
  </si>
  <si>
    <t xml:space="preserve">Fixed Total</t>
  </si>
  <si>
    <t xml:space="preserve">Variable Total</t>
  </si>
  <si>
    <t xml:space="preserve">Labor Total</t>
  </si>
  <si>
    <t xml:space="preserve">Workers</t>
  </si>
  <si>
    <t xml:space="preserve">Workers - Fixed</t>
  </si>
  <si>
    <t xml:space="preserve">Workers - Variable</t>
  </si>
  <si>
    <t xml:space="preserve">Var_Biomass</t>
  </si>
  <si>
    <t xml:space="preserve">Var_Conversion</t>
  </si>
  <si>
    <t xml:space="preserve">Beal et al 2015</t>
  </si>
  <si>
    <t xml:space="preserve">Harvest Technician</t>
  </si>
  <si>
    <t xml:space="preserve">Dewatering technician</t>
  </si>
  <si>
    <t xml:space="preserve">Physical plant engineering</t>
  </si>
  <si>
    <t xml:space="preserve">Lab + Scale-up technician</t>
  </si>
  <si>
    <t xml:space="preserve">IT engineer</t>
  </si>
  <si>
    <t xml:space="preserve">Production manager</t>
  </si>
  <si>
    <t xml:space="preserve">Franchise manager</t>
  </si>
  <si>
    <t xml:space="preserve">Sales manager</t>
  </si>
  <si>
    <t xml:space="preserve">Accounting</t>
  </si>
  <si>
    <t xml:space="preserve">Human Resources</t>
  </si>
</sst>
</file>

<file path=xl/styles.xml><?xml version="1.0" encoding="utf-8"?>
<styleSheet xmlns="http://schemas.openxmlformats.org/spreadsheetml/2006/main">
  <numFmts count="42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0.0%"/>
    <numFmt numFmtId="169" formatCode="0.0000"/>
    <numFmt numFmtId="170" formatCode="_(\$* #,##0.0000_);_(\$* \(#,##0.0000\);_(\$* \-??_);_(@_)"/>
    <numFmt numFmtId="171" formatCode="_(* #,##0.0000_);_(* \(#,##0.0000\);_(* \-??_);_(@_)"/>
    <numFmt numFmtId="172" formatCode="#,##0.00000"/>
    <numFmt numFmtId="173" formatCode="#,##0.0000000"/>
    <numFmt numFmtId="174" formatCode="#,##0.000000"/>
    <numFmt numFmtId="175" formatCode="0.00"/>
    <numFmt numFmtId="176" formatCode="0.000"/>
    <numFmt numFmtId="177" formatCode="#,##0.0000"/>
    <numFmt numFmtId="178" formatCode="_(* #,##0.00_);_(* \(#,##0.00\);_(* \-??_);_(@_)"/>
    <numFmt numFmtId="179" formatCode="0"/>
    <numFmt numFmtId="180" formatCode="_(* #,##0_);_(* \(#,##0\);_(* \-??_);_(@_)"/>
    <numFmt numFmtId="181" formatCode="0.0"/>
    <numFmt numFmtId="182" formatCode="_(\$* #,##0.00_);_(\$* \(#,##0.00\);_(\$* \-??_);_(@_)"/>
    <numFmt numFmtId="183" formatCode="\$#,##0_);[RED]&quot;($&quot;#,##0\)"/>
    <numFmt numFmtId="184" formatCode="\$#,##0.00_);[RED]&quot;($&quot;#,##0.00\)"/>
    <numFmt numFmtId="185" formatCode="_(\$* #,##0_);_(\$* \(#,##0\);_(\$* \-??_);_(@_)"/>
    <numFmt numFmtId="186" formatCode="#,##0"/>
    <numFmt numFmtId="187" formatCode="_(* #,##0.000000_);_(* \(#,##0.000000\);_(* \-??_);_(@_)"/>
    <numFmt numFmtId="188" formatCode="#,##0.000"/>
    <numFmt numFmtId="189" formatCode="#,##0.0"/>
    <numFmt numFmtId="190" formatCode="0.00000"/>
    <numFmt numFmtId="191" formatCode="_(\$* #,##0.00000_);_(\$* \(#,##0.00000\);_(\$* \-??_);_(@_)"/>
    <numFmt numFmtId="192" formatCode="@"/>
    <numFmt numFmtId="193" formatCode="_(* #,##0.00000_);_(* \(#,##0.00000\);_(* \-??_);_(@_)"/>
    <numFmt numFmtId="194" formatCode="0.000000"/>
    <numFmt numFmtId="195" formatCode="_(* #,##0.00000_);_(* \(#,##0.00000\);_(* \-??_);_(@_)"/>
    <numFmt numFmtId="196" formatCode="_(\$* #,##0.0000_);_(\$* \(#,##0.0000\);_(\$* \-??_);_(@_)"/>
    <numFmt numFmtId="197" formatCode="_(\$* #,##0.000_);_(\$* \(#,##0.000\);_(\$* \-??_);_(@_)"/>
    <numFmt numFmtId="198" formatCode="_(* #,##0_);_(* \(#,##0\);_(* \-??_);_(@_)"/>
    <numFmt numFmtId="199" formatCode="_-* #,##0_-;\-* #,##0_-;_-* \-??_-;_-@_-"/>
    <numFmt numFmtId="200" formatCode="0.00E+00"/>
    <numFmt numFmtId="201" formatCode="0.0E+00"/>
    <numFmt numFmtId="202" formatCode="0.000E+00"/>
    <numFmt numFmtId="203" formatCode="\$#,##0_);[RED]&quot;($&quot;#,##0\)"/>
    <numFmt numFmtId="204" formatCode="_(* #,##0.000_);_(* \(#,##0.000\);_(* \-??_);_(@_)"/>
    <numFmt numFmtId="205" formatCode="_(\$* #,##0.0_);_(\$* \(#,##0.0\);_(\$* \-??_);_(@_)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vertAlign val="subscript"/>
      <sz val="10"/>
      <color rgb="FF000000"/>
      <name val="Arial"/>
      <family val="2"/>
      <charset val="1"/>
    </font>
    <font>
      <sz val="11"/>
      <color rgb="FF9C0006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DAE3F3"/>
      </patternFill>
    </fill>
    <fill>
      <patternFill patternType="solid">
        <fgColor rgb="FFFFCC99"/>
        <bgColor rgb="FFF8CBAD"/>
      </patternFill>
    </fill>
    <fill>
      <patternFill patternType="solid">
        <fgColor rgb="FFF2F2F2"/>
        <bgColor rgb="FFFFFFFF"/>
      </patternFill>
    </fill>
    <fill>
      <patternFill patternType="solid">
        <fgColor rgb="FFFFC7CE"/>
        <bgColor rgb="FFF8CBAD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8CBAD"/>
        <bgColor rgb="FFFFCC99"/>
      </patternFill>
    </fill>
    <fill>
      <patternFill patternType="solid">
        <fgColor rgb="FFDAE3F3"/>
        <bgColor rgb="FFD9D9D9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dashed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>
        <color rgb="FF3F3F3F"/>
      </left>
      <right style="thin">
        <color rgb="FF3F3F3F"/>
      </right>
      <top style="thin"/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182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" applyFont="true" applyBorder="true" applyAlignment="true" applyProtection="false">
      <alignment horizontal="general" vertical="bottom" textRotation="0" wrapText="false" indent="0" shrinkToFit="false"/>
    </xf>
    <xf numFmtId="164" fontId="17" fillId="5" borderId="0" applyFont="true" applyBorder="false" applyAlignment="true" applyProtection="false">
      <alignment horizontal="general" vertical="bottom" textRotation="0" wrapText="false" indent="0" shrinkToFit="false"/>
    </xf>
  </cellStyleXfs>
  <cellXfs count="2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1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6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6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5" xfId="1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1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5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4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14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16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0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5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2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14" fillId="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8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14" fillId="8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8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4" fillId="8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0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5" fillId="2" borderId="23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4" fillId="8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7" fillId="5" borderId="0" xfId="2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8" fontId="5" fillId="2" borderId="25" xfId="2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8" fontId="5" fillId="2" borderId="12" xfId="2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8" fontId="14" fillId="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14" fillId="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6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2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3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4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5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6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7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6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7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8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0" fillId="9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8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9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2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26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5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10" fillId="4" borderId="2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0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201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20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9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3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1" fontId="0" fillId="0" borderId="5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6" fontId="0" fillId="0" borderId="5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7" fontId="0" fillId="0" borderId="5" xfId="1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9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10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7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0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0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10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8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7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0" borderId="0" xfId="27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9" fillId="0" borderId="3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9" fillId="7" borderId="4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8" fontId="0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8" fontId="0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7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0" borderId="11" xfId="27" applyFont="fals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10" borderId="10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1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7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6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8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27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0" borderId="14" xfId="27" applyFont="false" applyBorder="true" applyAlignment="true" applyProtection="false">
      <alignment horizontal="left" vertical="bottom" textRotation="0" wrapText="false" indent="5" shrinkToFit="false"/>
      <protection locked="true" hidden="false"/>
    </xf>
    <xf numFmtId="164" fontId="4" fillId="0" borderId="12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27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85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9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3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31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3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5" fontId="0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33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34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1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7" fontId="4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1" builtinId="53" customBuiltin="true"/>
    <cellStyle name="Currency 2" xfId="22" builtinId="53" customBuiltin="true"/>
    <cellStyle name="Normal 2" xfId="23" builtinId="53" customBuiltin="true"/>
    <cellStyle name="Percent 2" xfId="24" builtinId="53" customBuiltin="true"/>
    <cellStyle name="Excel Built-in Good" xfId="25" builtinId="53" customBuiltin="true"/>
    <cellStyle name="Excel Built-in Input" xfId="26" builtinId="53" customBuiltin="true"/>
    <cellStyle name="*unknown*" xfId="20" builtinId="8" customBuiltin="false"/>
    <cellStyle name="Excel Built-in Explanatory Text" xfId="27" builtinId="53" customBuiltin="true"/>
    <cellStyle name="Excel Built-in Output" xfId="28" builtinId="53" customBuiltin="true"/>
    <cellStyle name="Excel Built-in Bad" xfId="29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70C0"/>
      <rgbColor rgb="FFBFBFBF"/>
      <rgbColor rgb="FF7F7F7F"/>
      <rgbColor rgb="FF5B9BD5"/>
      <rgbColor rgb="FF993366"/>
      <rgbColor rgb="FFF2F2F2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8CBAD"/>
      <rgbColor rgb="FFA9D18E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85724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Cultivationcoefs!$M$2:$AC$2</c:f>
              <c:numCache>
                <c:formatCode>General</c:formatCode>
                <c:ptCount val="1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  <c:pt idx="9">
                  <c:v>2065</c:v>
                </c:pt>
                <c:pt idx="10">
                  <c:v>2070</c:v>
                </c:pt>
                <c:pt idx="11">
                  <c:v>2075</c:v>
                </c:pt>
                <c:pt idx="12">
                  <c:v>2080</c:v>
                </c:pt>
                <c:pt idx="13">
                  <c:v>2085</c:v>
                </c:pt>
                <c:pt idx="14">
                  <c:v>2090</c:v>
                </c:pt>
                <c:pt idx="15">
                  <c:v>2095</c:v>
                </c:pt>
                <c:pt idx="16">
                  <c:v>2100</c:v>
                </c:pt>
              </c:numCache>
            </c:numRef>
          </c:xVal>
          <c:yVal>
            <c:numRef>
              <c:f>Cultivationcoefs!$M$3:$AC$3</c:f>
              <c:numCache>
                <c:formatCode>General</c:formatCode>
                <c:ptCount val="17"/>
                <c:pt idx="0">
                  <c:v>1.04742587317757</c:v>
                </c:pt>
                <c:pt idx="1">
                  <c:v>1.07585818002124</c:v>
                </c:pt>
                <c:pt idx="2">
                  <c:v>1.11920292202212</c:v>
                </c:pt>
                <c:pt idx="3">
                  <c:v>1.18242552380636</c:v>
                </c:pt>
                <c:pt idx="4">
                  <c:v>1.26894142137</c:v>
                </c:pt>
                <c:pt idx="5">
                  <c:v>1.37754066879815</c:v>
                </c:pt>
                <c:pt idx="6">
                  <c:v>1.5</c:v>
                </c:pt>
                <c:pt idx="7">
                  <c:v>1.62245933120185</c:v>
                </c:pt>
                <c:pt idx="8">
                  <c:v>1.73105857863</c:v>
                </c:pt>
                <c:pt idx="9">
                  <c:v>1.81757447619364</c:v>
                </c:pt>
                <c:pt idx="10">
                  <c:v>1.88079707797788</c:v>
                </c:pt>
                <c:pt idx="11">
                  <c:v>1.92414181997876</c:v>
                </c:pt>
                <c:pt idx="12">
                  <c:v>1.95257412682243</c:v>
                </c:pt>
                <c:pt idx="13">
                  <c:v>1.97068776924864</c:v>
                </c:pt>
                <c:pt idx="14">
                  <c:v>1.98201379003791</c:v>
                </c:pt>
                <c:pt idx="15">
                  <c:v>1.98901305736941</c:v>
                </c:pt>
                <c:pt idx="16">
                  <c:v>1.99330714907572</c:v>
                </c:pt>
              </c:numCache>
            </c:numRef>
          </c:yVal>
          <c:smooth val="1"/>
        </c:ser>
        <c:axId val="32248146"/>
        <c:axId val="98032216"/>
      </c:scatterChart>
      <c:valAx>
        <c:axId val="322481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032216"/>
        <c:crosses val="autoZero"/>
        <c:crossBetween val="midCat"/>
      </c:valAx>
      <c:valAx>
        <c:axId val="980322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24814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'Cultivationcoefs (2)'!$M$2:$AC$2</c:f>
              <c:numCache>
                <c:formatCode>General</c:formatCode>
                <c:ptCount val="1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  <c:pt idx="9">
                  <c:v>2065</c:v>
                </c:pt>
                <c:pt idx="10">
                  <c:v>2070</c:v>
                </c:pt>
                <c:pt idx="11">
                  <c:v>2075</c:v>
                </c:pt>
                <c:pt idx="12">
                  <c:v>2080</c:v>
                </c:pt>
                <c:pt idx="13">
                  <c:v>2085</c:v>
                </c:pt>
                <c:pt idx="14">
                  <c:v>2090</c:v>
                </c:pt>
                <c:pt idx="15">
                  <c:v>2095</c:v>
                </c:pt>
                <c:pt idx="16">
                  <c:v>2100</c:v>
                </c:pt>
              </c:numCache>
            </c:numRef>
          </c:xVal>
          <c:yVal>
            <c:numRef>
              <c:f>'Cultivationcoefs (2)'!$M$3:$AC$3</c:f>
              <c:numCache>
                <c:formatCode>General</c:formatCode>
                <c:ptCount val="17"/>
                <c:pt idx="0">
                  <c:v>1.04742587317757</c:v>
                </c:pt>
                <c:pt idx="1">
                  <c:v>1.07585818002124</c:v>
                </c:pt>
                <c:pt idx="2">
                  <c:v>1.11920292202212</c:v>
                </c:pt>
                <c:pt idx="3">
                  <c:v>1.18242552380636</c:v>
                </c:pt>
                <c:pt idx="4">
                  <c:v>1.26894142137</c:v>
                </c:pt>
                <c:pt idx="5">
                  <c:v>1.37754066879815</c:v>
                </c:pt>
                <c:pt idx="6">
                  <c:v>1.5</c:v>
                </c:pt>
                <c:pt idx="7">
                  <c:v>1.62245933120185</c:v>
                </c:pt>
                <c:pt idx="8">
                  <c:v>1.73105857863</c:v>
                </c:pt>
                <c:pt idx="9">
                  <c:v>1.81757447619364</c:v>
                </c:pt>
                <c:pt idx="10">
                  <c:v>1.88079707797788</c:v>
                </c:pt>
                <c:pt idx="11">
                  <c:v>1.92414181997876</c:v>
                </c:pt>
                <c:pt idx="12">
                  <c:v>1.95257412682243</c:v>
                </c:pt>
                <c:pt idx="13">
                  <c:v>1.97068776924864</c:v>
                </c:pt>
                <c:pt idx="14">
                  <c:v>1.98201379003791</c:v>
                </c:pt>
                <c:pt idx="15">
                  <c:v>1.98901305736941</c:v>
                </c:pt>
                <c:pt idx="16">
                  <c:v>1.99330714907572</c:v>
                </c:pt>
              </c:numCache>
            </c:numRef>
          </c:yVal>
          <c:smooth val="1"/>
        </c:ser>
        <c:axId val="24977082"/>
        <c:axId val="11662213"/>
      </c:scatterChart>
      <c:valAx>
        <c:axId val="2497708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662213"/>
        <c:crosses val="autoZero"/>
        <c:crossBetween val="midCat"/>
      </c:valAx>
      <c:valAx>
        <c:axId val="116622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7708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Logistic App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CultivationcoefsOLDTEST!$L$3</c:f>
              <c:strCache>
                <c:ptCount val="1"/>
                <c:pt idx="0">
                  <c:v>Logistic App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CultivationcoefsOLDTEST!$M$3:$AC$3</c:f>
              <c:numCache>
                <c:formatCode>General</c:formatCode>
                <c:ptCount val="17"/>
                <c:pt idx="0">
                  <c:v>1.04742587317757</c:v>
                </c:pt>
                <c:pt idx="1">
                  <c:v>1.07585818002124</c:v>
                </c:pt>
                <c:pt idx="2">
                  <c:v>1.11920292202212</c:v>
                </c:pt>
                <c:pt idx="3">
                  <c:v>1.18242552380636</c:v>
                </c:pt>
                <c:pt idx="4">
                  <c:v>1.26894142137</c:v>
                </c:pt>
                <c:pt idx="5">
                  <c:v>1.37754066879815</c:v>
                </c:pt>
                <c:pt idx="6">
                  <c:v>1.5</c:v>
                </c:pt>
                <c:pt idx="7">
                  <c:v>1.62245933120185</c:v>
                </c:pt>
                <c:pt idx="8">
                  <c:v>1.73105857863</c:v>
                </c:pt>
                <c:pt idx="9">
                  <c:v>1.81757447619364</c:v>
                </c:pt>
                <c:pt idx="10">
                  <c:v>1.88079707797788</c:v>
                </c:pt>
                <c:pt idx="11">
                  <c:v>1.92414181997876</c:v>
                </c:pt>
                <c:pt idx="12">
                  <c:v>1.95257412682243</c:v>
                </c:pt>
                <c:pt idx="13">
                  <c:v>1.97068776924864</c:v>
                </c:pt>
                <c:pt idx="14">
                  <c:v>1.98201379003791</c:v>
                </c:pt>
                <c:pt idx="15">
                  <c:v>1.98901305736941</c:v>
                </c:pt>
                <c:pt idx="16">
                  <c:v>1.99330714907572</c:v>
                </c:pt>
              </c:numCache>
            </c:numRef>
          </c:yVal>
          <c:smooth val="0"/>
        </c:ser>
        <c:axId val="67463032"/>
        <c:axId val="17171219"/>
      </c:scatterChart>
      <c:valAx>
        <c:axId val="674630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171219"/>
        <c:crosses val="autoZero"/>
        <c:crossBetween val="midCat"/>
      </c:valAx>
      <c:valAx>
        <c:axId val="171712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4630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-24120</xdr:colOff>
      <xdr:row>28</xdr:row>
      <xdr:rowOff>24480</xdr:rowOff>
    </xdr:from>
    <xdr:to>
      <xdr:col>3</xdr:col>
      <xdr:colOff>1086120</xdr:colOff>
      <xdr:row>42</xdr:row>
      <xdr:rowOff>100440</xdr:rowOff>
    </xdr:to>
    <xdr:graphicFrame>
      <xdr:nvGraphicFramePr>
        <xdr:cNvPr id="0" name="Chart 1"/>
        <xdr:cNvGraphicFramePr/>
      </xdr:nvGraphicFramePr>
      <xdr:xfrm>
        <a:off x="-24120" y="5343120"/>
        <a:ext cx="47678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523800</xdr:colOff>
      <xdr:row>7</xdr:row>
      <xdr:rowOff>91080</xdr:rowOff>
    </xdr:from>
    <xdr:to>
      <xdr:col>26</xdr:col>
      <xdr:colOff>414720</xdr:colOff>
      <xdr:row>21</xdr:row>
      <xdr:rowOff>167040</xdr:rowOff>
    </xdr:to>
    <xdr:graphicFrame>
      <xdr:nvGraphicFramePr>
        <xdr:cNvPr id="1" name="Chart 1"/>
        <xdr:cNvGraphicFramePr/>
      </xdr:nvGraphicFramePr>
      <xdr:xfrm>
        <a:off x="14353920" y="1424520"/>
        <a:ext cx="47678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324000</xdr:colOff>
      <xdr:row>6</xdr:row>
      <xdr:rowOff>166680</xdr:rowOff>
    </xdr:from>
    <xdr:to>
      <xdr:col>17</xdr:col>
      <xdr:colOff>171360</xdr:colOff>
      <xdr:row>21</xdr:row>
      <xdr:rowOff>52200</xdr:rowOff>
    </xdr:to>
    <xdr:graphicFrame>
      <xdr:nvGraphicFramePr>
        <xdr:cNvPr id="2" name="Chart 1"/>
        <xdr:cNvGraphicFramePr/>
      </xdr:nvGraphicFramePr>
      <xdr:xfrm>
        <a:off x="7267680" y="1309680"/>
        <a:ext cx="47239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313920</xdr:colOff>
      <xdr:row>49</xdr:row>
      <xdr:rowOff>190080</xdr:rowOff>
    </xdr:to>
    <xdr:sp>
      <xdr:nvSpPr>
        <xdr:cNvPr id="3" name="CustomShape 1" hidden="1"/>
        <xdr:cNvSpPr/>
      </xdr:nvSpPr>
      <xdr:spPr>
        <a:xfrm>
          <a:off x="0" y="0"/>
          <a:ext cx="45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313920</xdr:colOff>
      <xdr:row>49</xdr:row>
      <xdr:rowOff>190080</xdr:rowOff>
    </xdr:to>
    <xdr:sp>
      <xdr:nvSpPr>
        <xdr:cNvPr id="4" name="CustomShape 1" hidden="1"/>
        <xdr:cNvSpPr/>
      </xdr:nvSpPr>
      <xdr:spPr>
        <a:xfrm>
          <a:off x="0" y="0"/>
          <a:ext cx="45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313920</xdr:colOff>
      <xdr:row>49</xdr:row>
      <xdr:rowOff>190080</xdr:rowOff>
    </xdr:to>
    <xdr:sp>
      <xdr:nvSpPr>
        <xdr:cNvPr id="5" name="CustomShape 1" hidden="1"/>
        <xdr:cNvSpPr/>
      </xdr:nvSpPr>
      <xdr:spPr>
        <a:xfrm>
          <a:off x="0" y="0"/>
          <a:ext cx="45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313920</xdr:colOff>
      <xdr:row>49</xdr:row>
      <xdr:rowOff>190080</xdr:rowOff>
    </xdr:to>
    <xdr:sp>
      <xdr:nvSpPr>
        <xdr:cNvPr id="6" name="CustomShape 1" hidden="1"/>
        <xdr:cNvSpPr/>
      </xdr:nvSpPr>
      <xdr:spPr>
        <a:xfrm>
          <a:off x="0" y="0"/>
          <a:ext cx="45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132840</xdr:colOff>
      <xdr:row>49</xdr:row>
      <xdr:rowOff>190080</xdr:rowOff>
    </xdr:to>
    <xdr:sp>
      <xdr:nvSpPr>
        <xdr:cNvPr id="7" name="CustomShape 1" hidden="1"/>
        <xdr:cNvSpPr/>
      </xdr:nvSpPr>
      <xdr:spPr>
        <a:xfrm>
          <a:off x="0" y="0"/>
          <a:ext cx="3790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132840</xdr:colOff>
      <xdr:row>49</xdr:row>
      <xdr:rowOff>190080</xdr:rowOff>
    </xdr:to>
    <xdr:sp>
      <xdr:nvSpPr>
        <xdr:cNvPr id="8" name="CustomShape 1" hidden="1"/>
        <xdr:cNvSpPr/>
      </xdr:nvSpPr>
      <xdr:spPr>
        <a:xfrm>
          <a:off x="0" y="0"/>
          <a:ext cx="3790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132840</xdr:colOff>
      <xdr:row>49</xdr:row>
      <xdr:rowOff>190080</xdr:rowOff>
    </xdr:to>
    <xdr:sp>
      <xdr:nvSpPr>
        <xdr:cNvPr id="9" name="CustomShape 1" hidden="1"/>
        <xdr:cNvSpPr/>
      </xdr:nvSpPr>
      <xdr:spPr>
        <a:xfrm>
          <a:off x="0" y="0"/>
          <a:ext cx="3790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132840</xdr:colOff>
      <xdr:row>49</xdr:row>
      <xdr:rowOff>190080</xdr:rowOff>
    </xdr:to>
    <xdr:sp>
      <xdr:nvSpPr>
        <xdr:cNvPr id="10" name="CustomShape 1" hidden="1"/>
        <xdr:cNvSpPr/>
      </xdr:nvSpPr>
      <xdr:spPr>
        <a:xfrm>
          <a:off x="0" y="0"/>
          <a:ext cx="3790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nrel.gov/docs/fy16osti/64772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nrel.gov/docs/fy14osti/62368.pdf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nrel.gov/docs/fy14osti/62368.pdf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nrel.gov/docs/fy14osti/62368.pdf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nrel.gov/docs/fy14osti/62368.pdf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2:AC51"/>
  <sheetViews>
    <sheetView windowProtection="false" showFormulas="false" showGridLines="true" showRowColHeaders="true" showZeros="true" rightToLeft="false" tabSelected="false" showOutlineSymbols="true" defaultGridColor="true" view="normal" topLeftCell="D7" colorId="64" zoomScale="100" zoomScaleNormal="100" zoomScalePageLayoutView="100" workbookViewId="0">
      <selection pane="topLeft" activeCell="F33" activeCellId="1" sqref="M57:AC68 F33"/>
    </sheetView>
  </sheetViews>
  <sheetFormatPr defaultRowHeight="15"/>
  <cols>
    <col collapsed="false" hidden="false" max="1" min="1" style="0" width="22.0051020408163"/>
    <col collapsed="false" hidden="false" max="2" min="2" style="0" width="19.5714285714286"/>
    <col collapsed="false" hidden="false" max="3" min="3" style="0" width="22.8112244897959"/>
    <col collapsed="false" hidden="false" max="4" min="4" style="0" width="26.0510204081633"/>
    <col collapsed="false" hidden="false" max="5" min="5" style="0" width="27.1326530612245"/>
    <col collapsed="false" hidden="false" max="6" min="6" style="0" width="35.3673469387755"/>
    <col collapsed="false" hidden="false" max="1025" min="7" style="0" width="8.63775510204082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5</v>
      </c>
      <c r="B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0" customFormat="false" ht="15" hidden="false" customHeight="false" outlineLevel="0" collapsed="false">
      <c r="A10" s="0" t="s">
        <v>9</v>
      </c>
      <c r="B10" s="0" t="s">
        <v>10</v>
      </c>
    </row>
    <row r="11" customFormat="false" ht="15" hidden="false" customHeight="false" outlineLevel="0" collapsed="false">
      <c r="A11" s="0" t="s">
        <v>11</v>
      </c>
      <c r="B11" s="0" t="s">
        <v>12</v>
      </c>
      <c r="H11" s="0" t="s">
        <v>13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n">
        <v>1975</v>
      </c>
      <c r="I12" s="0" t="n">
        <v>1990</v>
      </c>
      <c r="J12" s="0" t="n">
        <v>2005</v>
      </c>
      <c r="K12" s="0" t="n">
        <v>2010</v>
      </c>
      <c r="L12" s="0" t="n">
        <v>2015</v>
      </c>
      <c r="M12" s="0" t="n">
        <v>2020</v>
      </c>
      <c r="N12" s="0" t="n">
        <v>2025</v>
      </c>
      <c r="O12" s="0" t="n">
        <v>2030</v>
      </c>
      <c r="P12" s="0" t="n">
        <v>2035</v>
      </c>
      <c r="Q12" s="0" t="n">
        <v>2040</v>
      </c>
      <c r="R12" s="0" t="n">
        <v>2045</v>
      </c>
      <c r="S12" s="0" t="n">
        <v>2050</v>
      </c>
      <c r="T12" s="0" t="n">
        <v>2055</v>
      </c>
      <c r="U12" s="0" t="n">
        <v>2060</v>
      </c>
      <c r="V12" s="0" t="n">
        <v>2065</v>
      </c>
      <c r="W12" s="0" t="n">
        <v>2070</v>
      </c>
      <c r="X12" s="0" t="n">
        <v>2075</v>
      </c>
      <c r="Y12" s="0" t="n">
        <v>2080</v>
      </c>
      <c r="Z12" s="0" t="n">
        <v>2085</v>
      </c>
      <c r="AA12" s="0" t="n">
        <v>2090</v>
      </c>
      <c r="AB12" s="0" t="n">
        <v>2095</v>
      </c>
      <c r="AC12" s="0" t="n">
        <v>2100</v>
      </c>
    </row>
    <row r="13" customFormat="false" ht="15" hidden="false" customHeight="false" outlineLevel="0" collapsed="false">
      <c r="A13" s="0" t="s">
        <v>21</v>
      </c>
      <c r="B13" s="0" t="s">
        <v>22</v>
      </c>
      <c r="C13" s="0" t="s">
        <v>22</v>
      </c>
      <c r="D13" s="0" t="s">
        <v>23</v>
      </c>
      <c r="E13" s="0" t="s">
        <v>24</v>
      </c>
      <c r="F13" s="2" t="s">
        <v>25</v>
      </c>
      <c r="G13" s="3" t="n">
        <f aca="false">TRUE()</f>
        <v>1</v>
      </c>
    </row>
    <row r="14" customFormat="false" ht="15" hidden="false" customHeight="false" outlineLevel="0" collapsed="false">
      <c r="A14" s="0" t="s">
        <v>26</v>
      </c>
      <c r="B14" s="0" t="s">
        <v>22</v>
      </c>
      <c r="C14" s="0" t="s">
        <v>22</v>
      </c>
      <c r="D14" s="0" t="s">
        <v>27</v>
      </c>
      <c r="G14" s="4"/>
    </row>
    <row r="15" customFormat="false" ht="15" hidden="false" customHeight="false" outlineLevel="0" collapsed="false">
      <c r="A15" s="0" t="s">
        <v>28</v>
      </c>
      <c r="B15" s="0" t="s">
        <v>29</v>
      </c>
      <c r="C15" s="0" t="s">
        <v>30</v>
      </c>
      <c r="D15" s="0" t="s">
        <v>31</v>
      </c>
      <c r="E15" s="0" t="s">
        <v>32</v>
      </c>
      <c r="F15" s="2" t="s">
        <v>33</v>
      </c>
      <c r="G15" s="3" t="n">
        <f aca="false">TRUE()</f>
        <v>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34</v>
      </c>
      <c r="D16" s="0" t="s">
        <v>31</v>
      </c>
      <c r="E16" s="0" t="s">
        <v>32</v>
      </c>
      <c r="F16" s="2" t="s">
        <v>35</v>
      </c>
      <c r="G16" s="3" t="n">
        <f aca="false">FALSE()</f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</row>
    <row r="17" customFormat="false" ht="15" hidden="false" customHeight="false" outlineLevel="0" collapsed="false">
      <c r="A17" s="0" t="s">
        <v>28</v>
      </c>
      <c r="B17" s="0" t="s">
        <v>36</v>
      </c>
      <c r="C17" s="0" t="s">
        <v>29</v>
      </c>
      <c r="D17" s="0" t="s">
        <v>37</v>
      </c>
      <c r="E17" s="0" t="s">
        <v>32</v>
      </c>
      <c r="F17" s="2" t="s">
        <v>38</v>
      </c>
      <c r="G17" s="3" t="n">
        <f aca="false">TRUE()</f>
        <v>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</row>
    <row r="19" customFormat="false" ht="15" hidden="false" customHeight="false" outlineLevel="0" collapsed="false">
      <c r="A19" s="1" t="s">
        <v>39</v>
      </c>
    </row>
    <row r="20" customFormat="false" ht="15" hidden="false" customHeight="false" outlineLevel="0" collapsed="false">
      <c r="A20" s="5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43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n">
        <v>1975</v>
      </c>
      <c r="I22" s="0" t="n">
        <v>1990</v>
      </c>
      <c r="J22" s="0" t="n">
        <v>2005</v>
      </c>
      <c r="K22" s="0" t="n">
        <v>2010</v>
      </c>
      <c r="L22" s="0" t="n">
        <v>2015</v>
      </c>
      <c r="M22" s="0" t="n">
        <v>2020</v>
      </c>
      <c r="N22" s="0" t="n">
        <v>2025</v>
      </c>
      <c r="O22" s="0" t="n">
        <v>2030</v>
      </c>
      <c r="P22" s="0" t="n">
        <v>2035</v>
      </c>
      <c r="Q22" s="0" t="n">
        <v>2040</v>
      </c>
      <c r="R22" s="0" t="n">
        <v>2045</v>
      </c>
      <c r="S22" s="0" t="n">
        <v>2050</v>
      </c>
      <c r="T22" s="0" t="n">
        <v>2055</v>
      </c>
      <c r="U22" s="0" t="n">
        <v>2060</v>
      </c>
      <c r="V22" s="0" t="n">
        <v>2065</v>
      </c>
      <c r="W22" s="0" t="n">
        <v>2070</v>
      </c>
      <c r="X22" s="0" t="n">
        <v>2075</v>
      </c>
      <c r="Y22" s="0" t="n">
        <v>2080</v>
      </c>
      <c r="Z22" s="0" t="n">
        <v>2085</v>
      </c>
      <c r="AA22" s="0" t="n">
        <v>2090</v>
      </c>
      <c r="AB22" s="0" t="n">
        <v>2095</v>
      </c>
      <c r="AC22" s="0" t="n">
        <v>2100</v>
      </c>
    </row>
    <row r="23" customFormat="false" ht="15" hidden="false" customHeight="false" outlineLevel="0" collapsed="false">
      <c r="A23" s="0" t="s">
        <v>28</v>
      </c>
      <c r="B23" s="0" t="s">
        <v>36</v>
      </c>
      <c r="C23" s="0" t="s">
        <v>29</v>
      </c>
      <c r="D23" s="0" t="s">
        <v>44</v>
      </c>
      <c r="E23" s="0" t="s">
        <v>32</v>
      </c>
      <c r="F23" s="2" t="s">
        <v>45</v>
      </c>
      <c r="G23" s="3" t="n">
        <f aca="false">TRUE()</f>
        <v>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0.2</v>
      </c>
      <c r="N23" s="3" t="n">
        <v>0.4</v>
      </c>
      <c r="O23" s="3" t="n">
        <v>0.6</v>
      </c>
      <c r="P23" s="3" t="n">
        <v>0.8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1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  <c r="F24" s="0" t="s">
        <v>51</v>
      </c>
      <c r="G24" s="3" t="n">
        <v>0</v>
      </c>
      <c r="H24" s="0" t="s">
        <v>52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48</v>
      </c>
      <c r="D25" s="0" t="s">
        <v>49</v>
      </c>
      <c r="E25" s="0" t="s">
        <v>53</v>
      </c>
      <c r="F25" s="0" t="s">
        <v>54</v>
      </c>
      <c r="G25" s="3" t="n">
        <v>0</v>
      </c>
      <c r="H25" s="0" t="s">
        <v>52</v>
      </c>
    </row>
    <row r="27" customFormat="false" ht="15" hidden="false" customHeight="false" outlineLevel="0" collapsed="false">
      <c r="A27" s="1" t="s">
        <v>55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58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s">
        <v>61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n">
        <v>1975</v>
      </c>
      <c r="I30" s="0" t="n">
        <v>1990</v>
      </c>
      <c r="J30" s="0" t="n">
        <v>2005</v>
      </c>
      <c r="K30" s="0" t="n">
        <v>2010</v>
      </c>
      <c r="L30" s="0" t="n">
        <v>2015</v>
      </c>
      <c r="M30" s="0" t="n">
        <v>2020</v>
      </c>
      <c r="N30" s="0" t="n">
        <v>2025</v>
      </c>
      <c r="O30" s="0" t="n">
        <v>2030</v>
      </c>
      <c r="P30" s="0" t="n">
        <v>2035</v>
      </c>
      <c r="Q30" s="0" t="n">
        <v>2040</v>
      </c>
      <c r="R30" s="0" t="n">
        <v>2045</v>
      </c>
      <c r="S30" s="0" t="n">
        <v>2050</v>
      </c>
      <c r="T30" s="0" t="n">
        <v>2055</v>
      </c>
      <c r="U30" s="0" t="n">
        <v>2060</v>
      </c>
      <c r="V30" s="0" t="n">
        <v>2065</v>
      </c>
      <c r="W30" s="0" t="n">
        <v>2070</v>
      </c>
      <c r="X30" s="0" t="n">
        <v>2075</v>
      </c>
      <c r="Y30" s="0" t="n">
        <v>2080</v>
      </c>
      <c r="Z30" s="0" t="n">
        <v>2085</v>
      </c>
      <c r="AA30" s="0" t="n">
        <v>2090</v>
      </c>
      <c r="AB30" s="0" t="n">
        <v>2095</v>
      </c>
      <c r="AC30" s="0" t="n">
        <v>2100</v>
      </c>
    </row>
    <row r="31" customFormat="false" ht="15" hidden="false" customHeight="false" outlineLevel="0" collapsed="false">
      <c r="A31" s="0" t="s">
        <v>28</v>
      </c>
      <c r="B31" s="0" t="s">
        <v>62</v>
      </c>
      <c r="C31" s="0" t="s">
        <v>62</v>
      </c>
      <c r="D31" s="0" t="s">
        <v>63</v>
      </c>
      <c r="E31" s="0" t="s">
        <v>64</v>
      </c>
      <c r="F31" s="0" t="s">
        <v>65</v>
      </c>
      <c r="H31" s="3" t="n">
        <v>1</v>
      </c>
    </row>
    <row r="32" customFormat="false" ht="15" hidden="false" customHeight="false" outlineLevel="0" collapsed="false">
      <c r="A32" s="0" t="s">
        <v>28</v>
      </c>
      <c r="B32" s="0" t="s">
        <v>62</v>
      </c>
      <c r="C32" s="0" t="s">
        <v>62</v>
      </c>
      <c r="D32" s="0" t="s">
        <v>66</v>
      </c>
      <c r="E32" s="0" t="s">
        <v>67</v>
      </c>
      <c r="F32" s="0" t="s">
        <v>68</v>
      </c>
      <c r="G32" s="3" t="n">
        <f aca="false">TRUE()</f>
        <v>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R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  <c r="X32" s="3" t="n">
        <v>1</v>
      </c>
      <c r="Y32" s="3" t="n">
        <v>1</v>
      </c>
      <c r="Z32" s="3" t="n">
        <v>1</v>
      </c>
      <c r="AA32" s="3" t="n">
        <v>1</v>
      </c>
      <c r="AB32" s="3" t="n">
        <v>1</v>
      </c>
      <c r="AC32" s="3" t="n">
        <v>1</v>
      </c>
    </row>
    <row r="33" customFormat="false" ht="15" hidden="false" customHeight="false" outlineLevel="0" collapsed="false">
      <c r="A33" s="0" t="s">
        <v>28</v>
      </c>
      <c r="B33" s="0" t="s">
        <v>69</v>
      </c>
      <c r="C33" s="0" t="s">
        <v>70</v>
      </c>
      <c r="D33" s="0" t="s">
        <v>71</v>
      </c>
      <c r="E33" s="0" t="s">
        <v>67</v>
      </c>
      <c r="F33" s="2" t="s">
        <v>72</v>
      </c>
      <c r="G33" s="3" t="n">
        <f aca="false">FALSE()</f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0.1</v>
      </c>
      <c r="N33" s="3" t="n">
        <v>0.25</v>
      </c>
      <c r="O33" s="3" t="n">
        <v>0.45</v>
      </c>
      <c r="P33" s="3" t="n">
        <v>0.7</v>
      </c>
      <c r="Q33" s="3" t="n">
        <v>1</v>
      </c>
      <c r="R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Z33" s="3" t="n">
        <v>1</v>
      </c>
      <c r="AA33" s="3" t="n">
        <v>1</v>
      </c>
      <c r="AB33" s="3" t="n">
        <v>1</v>
      </c>
      <c r="AC33" s="3" t="n">
        <v>1</v>
      </c>
    </row>
    <row r="34" customFormat="false" ht="15" hidden="false" customHeight="false" outlineLevel="0" collapsed="false">
      <c r="A34" s="0" t="s">
        <v>28</v>
      </c>
      <c r="B34" s="0" t="s">
        <v>69</v>
      </c>
      <c r="C34" s="0" t="s">
        <v>73</v>
      </c>
      <c r="D34" s="0" t="s">
        <v>71</v>
      </c>
      <c r="E34" s="0" t="s">
        <v>67</v>
      </c>
      <c r="F34" s="2" t="s">
        <v>74</v>
      </c>
      <c r="G34" s="3" t="n">
        <f aca="false">TRUE()</f>
        <v>1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1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</row>
    <row r="35" customFormat="false" ht="15" hidden="false" customHeight="false" outlineLevel="0" collapsed="false">
      <c r="D35" s="0" t="s">
        <v>75</v>
      </c>
      <c r="F35" s="0" t="s">
        <v>76</v>
      </c>
    </row>
    <row r="36" customFormat="false" ht="15" hidden="false" customHeight="false" outlineLevel="0" collapsed="false">
      <c r="A36" s="6" t="s">
        <v>77</v>
      </c>
      <c r="B36" s="6" t="s">
        <v>78</v>
      </c>
      <c r="C36" s="6" t="s">
        <v>78</v>
      </c>
      <c r="D36" s="0" t="s">
        <v>79</v>
      </c>
      <c r="E36" s="0" t="s">
        <v>67</v>
      </c>
      <c r="F36" s="7" t="s">
        <v>80</v>
      </c>
      <c r="H36" s="0" t="s">
        <v>81</v>
      </c>
    </row>
    <row r="37" customFormat="false" ht="15" hidden="false" customHeight="false" outlineLevel="0" collapsed="false">
      <c r="A37" s="6" t="s">
        <v>82</v>
      </c>
      <c r="B37" s="6" t="s">
        <v>78</v>
      </c>
      <c r="C37" s="6" t="s">
        <v>78</v>
      </c>
      <c r="D37" s="0" t="s">
        <v>83</v>
      </c>
      <c r="E37" s="0" t="s">
        <v>84</v>
      </c>
      <c r="F37" s="7" t="s">
        <v>80</v>
      </c>
      <c r="G37" s="3" t="n">
        <v>0.05</v>
      </c>
      <c r="H37" s="0" t="s">
        <v>81</v>
      </c>
    </row>
    <row r="40" customFormat="false" ht="15" hidden="false" customHeight="false" outlineLevel="0" collapsed="false">
      <c r="A40" s="0" t="s">
        <v>85</v>
      </c>
    </row>
    <row r="41" customFormat="false" ht="15" hidden="false" customHeight="false" outlineLevel="0" collapsed="false">
      <c r="A41" s="0" t="s">
        <v>86</v>
      </c>
      <c r="B41" s="0" t="s">
        <v>87</v>
      </c>
      <c r="D41" s="0" t="s">
        <v>88</v>
      </c>
    </row>
    <row r="42" customFormat="false" ht="15" hidden="false" customHeight="false" outlineLevel="0" collapsed="false">
      <c r="A42" s="0" t="s">
        <v>89</v>
      </c>
      <c r="B42" s="0" t="s">
        <v>90</v>
      </c>
      <c r="D42" s="0" t="s">
        <v>91</v>
      </c>
    </row>
    <row r="43" customFormat="false" ht="15" hidden="false" customHeight="false" outlineLevel="0" collapsed="false">
      <c r="A43" s="0" t="s">
        <v>92</v>
      </c>
      <c r="B43" s="0" t="s">
        <v>93</v>
      </c>
      <c r="C43" s="0" t="s">
        <v>88</v>
      </c>
      <c r="D43" s="0" t="s">
        <v>94</v>
      </c>
    </row>
    <row r="44" customFormat="false" ht="15" hidden="false" customHeight="false" outlineLevel="0" collapsed="false">
      <c r="A44" s="0" t="s">
        <v>95</v>
      </c>
      <c r="B44" s="0" t="s">
        <v>96</v>
      </c>
      <c r="C44" s="0" t="s">
        <v>88</v>
      </c>
      <c r="D44" s="0" t="s">
        <v>97</v>
      </c>
    </row>
    <row r="45" customFormat="false" ht="15" hidden="false" customHeight="false" outlineLevel="0" collapsed="false">
      <c r="A45" s="0" t="s">
        <v>98</v>
      </c>
      <c r="B45" s="0" t="s">
        <v>99</v>
      </c>
      <c r="D45" s="0" t="s">
        <v>100</v>
      </c>
    </row>
    <row r="47" customFormat="false" ht="15" hidden="false" customHeight="false" outlineLevel="0" collapsed="false">
      <c r="A47" s="0" t="s">
        <v>101</v>
      </c>
    </row>
    <row r="49" customFormat="false" ht="15" hidden="false" customHeight="false" outlineLevel="0" collapsed="false">
      <c r="A49" s="0" t="s">
        <v>102</v>
      </c>
    </row>
    <row r="50" customFormat="false" ht="15" hidden="false" customHeight="false" outlineLevel="0" collapsed="false">
      <c r="A50" s="0" t="s">
        <v>103</v>
      </c>
    </row>
    <row r="51" customFormat="false" ht="15" hidden="false" customHeight="false" outlineLevel="0" collapsed="false">
      <c r="A5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:H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M57:AC68 C14"/>
    </sheetView>
  </sheetViews>
  <sheetFormatPr defaultRowHeight="15"/>
  <cols>
    <col collapsed="false" hidden="false" max="1" min="1" style="0" width="43.469387755102"/>
    <col collapsed="false" hidden="false" max="2" min="2" style="0" width="42.6581632653061"/>
    <col collapsed="false" hidden="false" max="3" min="3" style="0" width="31.0459183673469"/>
    <col collapsed="false" hidden="false" max="4" min="4" style="0" width="25.1071428571429"/>
    <col collapsed="false" hidden="false" max="5" min="5" style="0" width="13.0918367346939"/>
    <col collapsed="false" hidden="false" max="6" min="6" style="0" width="11.4744897959184"/>
    <col collapsed="false" hidden="false" max="7" min="7" style="0" width="8.63775510204082"/>
    <col collapsed="false" hidden="false" max="8" min="8" style="0" width="14.0408163265306"/>
    <col collapsed="false" hidden="false" max="10" min="9" style="0" width="8.63775510204082"/>
    <col collapsed="false" hidden="false" max="11" min="11" style="0" width="14.0408163265306"/>
    <col collapsed="false" hidden="false" max="12" min="12" style="0" width="8.63775510204082"/>
    <col collapsed="false" hidden="false" max="13" min="13" style="0" width="14.0408163265306"/>
    <col collapsed="false" hidden="false" max="15" min="14" style="0" width="8.63775510204082"/>
    <col collapsed="false" hidden="false" max="16" min="16" style="0" width="14.0408163265306"/>
    <col collapsed="false" hidden="false" max="1025" min="17" style="0" width="8.63775510204082"/>
  </cols>
  <sheetData>
    <row r="1" customFormat="false" ht="27" hidden="false" customHeight="true" outlineLevel="0" collapsed="false">
      <c r="A1" s="8" t="s">
        <v>105</v>
      </c>
    </row>
    <row r="2" customFormat="false" ht="15" hidden="false" customHeight="false" outlineLevel="0" collapsed="false">
      <c r="A2" s="9" t="s">
        <v>106</v>
      </c>
      <c r="B2" s="0" t="s">
        <v>107</v>
      </c>
    </row>
    <row r="3" customFormat="false" ht="15" hidden="false" customHeight="false" outlineLevel="0" collapsed="false">
      <c r="A3" s="10" t="s">
        <v>108</v>
      </c>
    </row>
    <row r="4" customFormat="false" ht="15" hidden="false" customHeight="false" outlineLevel="0" collapsed="false">
      <c r="A4" s="0" t="s">
        <v>109</v>
      </c>
    </row>
    <row r="5" customFormat="false" ht="15" hidden="false" customHeight="false" outlineLevel="0" collapsed="false">
      <c r="A5" s="0" t="s">
        <v>110</v>
      </c>
    </row>
    <row r="8" customFormat="false" ht="15" hidden="false" customHeight="false" outlineLevel="0" collapsed="false">
      <c r="A8" s="11" t="s">
        <v>111</v>
      </c>
      <c r="B8" s="12" t="s">
        <v>22</v>
      </c>
    </row>
    <row r="9" customFormat="false" ht="15" hidden="false" customHeight="false" outlineLevel="0" collapsed="false">
      <c r="A9" s="0" t="s">
        <v>15</v>
      </c>
      <c r="B9" s="0" t="s">
        <v>112</v>
      </c>
    </row>
    <row r="10" s="13" customFormat="true" ht="15" hidden="false" customHeight="false" outlineLevel="0" collapsed="false"/>
    <row r="11" s="16" customFormat="true" ht="15" hidden="false" customHeight="false" outlineLevel="0" collapsed="false">
      <c r="A11" s="14" t="s">
        <v>113</v>
      </c>
      <c r="B11" s="14" t="s">
        <v>114</v>
      </c>
      <c r="C11" s="15" t="s">
        <v>115</v>
      </c>
      <c r="D11" s="15" t="s">
        <v>116</v>
      </c>
      <c r="E11" s="15" t="s">
        <v>117</v>
      </c>
    </row>
    <row r="12" customFormat="false" ht="15" hidden="false" customHeight="false" outlineLevel="0" collapsed="false">
      <c r="A12" s="0" t="s">
        <v>118</v>
      </c>
      <c r="B12" s="0" t="s">
        <v>119</v>
      </c>
      <c r="C12" s="0" t="n">
        <f aca="false">B32</f>
        <v>8.25</v>
      </c>
      <c r="D12" s="0" t="s">
        <v>120</v>
      </c>
      <c r="E12" s="17" t="s">
        <v>121</v>
      </c>
      <c r="H12" s="0" t="n">
        <f aca="false">Algae_yield/365*1000</f>
        <v>22.6027397260274</v>
      </c>
    </row>
    <row r="13" customFormat="false" ht="15" hidden="false" customHeight="false" outlineLevel="0" collapsed="false">
      <c r="A13" s="0" t="s">
        <v>122</v>
      </c>
      <c r="B13" s="18" t="s">
        <v>123</v>
      </c>
      <c r="C13" s="19" t="n">
        <f aca="false">D67</f>
        <v>0.0922233477922688</v>
      </c>
      <c r="D13" s="18" t="s">
        <v>124</v>
      </c>
      <c r="E13" s="17" t="s">
        <v>125</v>
      </c>
    </row>
    <row r="14" customFormat="false" ht="15" hidden="false" customHeight="false" outlineLevel="0" collapsed="false">
      <c r="A14" s="0" t="s">
        <v>126</v>
      </c>
      <c r="B14" s="18" t="s">
        <v>127</v>
      </c>
      <c r="C14" s="19" t="n">
        <f aca="false">C102/1000</f>
        <v>0.00163314418604651</v>
      </c>
      <c r="D14" s="18" t="s">
        <v>128</v>
      </c>
      <c r="E14" s="17" t="s">
        <v>129</v>
      </c>
    </row>
    <row r="15" customFormat="false" ht="15" hidden="false" customHeight="false" outlineLevel="0" collapsed="false">
      <c r="A15" s="0" t="s">
        <v>130</v>
      </c>
      <c r="B15" s="20" t="s">
        <v>131</v>
      </c>
      <c r="C15" s="21" t="n">
        <f aca="false">D68</f>
        <v>0.760842619286218</v>
      </c>
      <c r="D15" s="20" t="s">
        <v>132</v>
      </c>
      <c r="E15" s="17" t="s">
        <v>133</v>
      </c>
      <c r="G15" s="22" t="n">
        <f aca="false">D68</f>
        <v>0.760842619286218</v>
      </c>
    </row>
    <row r="16" customFormat="false" ht="15" hidden="false" customHeight="false" outlineLevel="0" collapsed="false">
      <c r="A16" s="0" t="s">
        <v>126</v>
      </c>
      <c r="B16" s="20" t="s">
        <v>134</v>
      </c>
      <c r="C16" s="23" t="n">
        <f aca="false">C101</f>
        <v>0.0137435971035293</v>
      </c>
      <c r="D16" s="20" t="s">
        <v>135</v>
      </c>
      <c r="E16" s="24" t="s">
        <v>133</v>
      </c>
    </row>
    <row r="17" customFormat="false" ht="15" hidden="false" customHeight="false" outlineLevel="0" collapsed="false">
      <c r="A17" s="0" t="s">
        <v>136</v>
      </c>
      <c r="B17" s="20" t="s">
        <v>137</v>
      </c>
      <c r="C17" s="25" t="n">
        <f aca="false">C120</f>
        <v>0.0193798449612403</v>
      </c>
      <c r="D17" s="20" t="s">
        <v>138</v>
      </c>
      <c r="E17" s="0" t="s">
        <v>139</v>
      </c>
    </row>
    <row r="18" customFormat="false" ht="15" hidden="false" customHeight="false" outlineLevel="0" collapsed="false">
      <c r="A18" s="0" t="s">
        <v>140</v>
      </c>
      <c r="B18" s="20" t="s">
        <v>141</v>
      </c>
      <c r="C18" s="26" t="n">
        <f aca="false">C121</f>
        <v>0.00968992248062015</v>
      </c>
      <c r="D18" s="20" t="s">
        <v>142</v>
      </c>
      <c r="E18" s="0" t="s">
        <v>139</v>
      </c>
    </row>
    <row r="19" customFormat="false" ht="15" hidden="false" customHeight="false" outlineLevel="0" collapsed="false">
      <c r="A19" s="0" t="s">
        <v>143</v>
      </c>
      <c r="B19" s="20" t="s">
        <v>144</v>
      </c>
      <c r="C19" s="27" t="n">
        <f aca="false">C119*12/44</f>
        <v>0.60676532769556</v>
      </c>
      <c r="D19" s="20" t="s">
        <v>145</v>
      </c>
      <c r="E19" s="0" t="s">
        <v>146</v>
      </c>
    </row>
    <row r="20" customFormat="false" ht="15" hidden="false" customHeight="false" outlineLevel="0" collapsed="false">
      <c r="A20" s="0" t="s">
        <v>147</v>
      </c>
      <c r="B20" s="0" t="s">
        <v>148</v>
      </c>
      <c r="C20" s="28" t="n">
        <f aca="false">C122</f>
        <v>51.9186046511628</v>
      </c>
      <c r="D20" s="0" t="s">
        <v>149</v>
      </c>
    </row>
    <row r="21" customFormat="false" ht="15" hidden="false" customHeight="false" outlineLevel="0" collapsed="false">
      <c r="A21" s="0" t="s">
        <v>147</v>
      </c>
      <c r="B21" s="20" t="s">
        <v>150</v>
      </c>
      <c r="C21" s="29" t="n">
        <f aca="false">C123</f>
        <v>0.436916954791572</v>
      </c>
      <c r="D21" s="30" t="s">
        <v>151</v>
      </c>
      <c r="E21" s="0" t="s">
        <v>133</v>
      </c>
    </row>
    <row r="22" customFormat="false" ht="15" hidden="false" customHeight="false" outlineLevel="0" collapsed="false">
      <c r="A22" s="0" t="s">
        <v>152</v>
      </c>
      <c r="B22" s="20" t="s">
        <v>153</v>
      </c>
      <c r="C22" s="31" t="n">
        <f aca="false">C111/1000</f>
        <v>0.00142341860465116</v>
      </c>
      <c r="D22" s="20" t="s">
        <v>154</v>
      </c>
      <c r="E22" s="0" t="s">
        <v>155</v>
      </c>
    </row>
    <row r="23" customFormat="false" ht="15" hidden="false" customHeight="false" outlineLevel="0" collapsed="false">
      <c r="A23" s="0" t="s">
        <v>156</v>
      </c>
      <c r="B23" s="20" t="s">
        <v>157</v>
      </c>
      <c r="C23" s="31" t="n">
        <f aca="false">C115/1000/D66</f>
        <v>0.0222642164293305</v>
      </c>
      <c r="D23" s="20" t="s">
        <v>158</v>
      </c>
    </row>
    <row r="26" customFormat="false" ht="15" hidden="false" customHeight="false" outlineLevel="0" collapsed="false">
      <c r="E26" s="28"/>
      <c r="H26" s="32"/>
    </row>
    <row r="27" s="13" customFormat="true" ht="15" hidden="false" customHeight="false" outlineLevel="0" collapsed="false">
      <c r="E27" s="33"/>
      <c r="H27" s="34"/>
    </row>
    <row r="28" s="16" customFormat="true" ht="15" hidden="false" customHeight="false" outlineLevel="0" collapsed="false">
      <c r="A28" s="16" t="s">
        <v>159</v>
      </c>
      <c r="C28" s="16" t="s">
        <v>160</v>
      </c>
      <c r="D28" s="15" t="s">
        <v>117</v>
      </c>
      <c r="E28" s="35"/>
      <c r="H28" s="36"/>
    </row>
    <row r="29" customFormat="false" ht="15" hidden="false" customHeight="false" outlineLevel="0" collapsed="false">
      <c r="A29" s="0" t="s">
        <v>161</v>
      </c>
      <c r="B29" s="0" t="n">
        <f aca="false">516*330</f>
        <v>170280</v>
      </c>
      <c r="C29" s="0" t="s">
        <v>162</v>
      </c>
      <c r="D29" s="0" t="s">
        <v>163</v>
      </c>
    </row>
    <row r="30" customFormat="false" ht="15" hidden="false" customHeight="false" outlineLevel="0" collapsed="false">
      <c r="A30" s="0" t="s">
        <v>164</v>
      </c>
      <c r="B30" s="37" t="n">
        <f aca="false" t="array" ref="B30:B30">SUM($B$29/(1.1)^{1,2,3,4,5,6,7,8,9,10,11,12,13,14,15,16,17,18,19,20,21,22,23,24,25,26,27,28,29,30})</f>
        <v>1605214.99543877</v>
      </c>
      <c r="C30" s="0" t="s">
        <v>162</v>
      </c>
      <c r="E30" s="38"/>
    </row>
    <row r="31" customFormat="false" ht="15" hidden="false" customHeight="false" outlineLevel="0" collapsed="false">
      <c r="A31" s="0" t="s">
        <v>165</v>
      </c>
      <c r="B31" s="0" t="n">
        <v>25</v>
      </c>
      <c r="C31" s="37" t="s">
        <v>166</v>
      </c>
      <c r="D31" s="0" t="s">
        <v>167</v>
      </c>
    </row>
    <row r="32" customFormat="false" ht="15" hidden="false" customHeight="false" outlineLevel="0" collapsed="false">
      <c r="A32" s="0" t="s">
        <v>168</v>
      </c>
      <c r="B32" s="28" t="n">
        <f aca="false">B31*330/1000</f>
        <v>8.25</v>
      </c>
      <c r="C32" s="37" t="s">
        <v>169</v>
      </c>
      <c r="E32" s="38"/>
      <c r="H32" s="32"/>
    </row>
    <row r="33" customFormat="false" ht="15" hidden="false" customHeight="false" outlineLevel="0" collapsed="false">
      <c r="A33" s="0" t="s">
        <v>170</v>
      </c>
      <c r="B33" s="0" t="n">
        <v>330</v>
      </c>
      <c r="C33" s="0" t="s">
        <v>171</v>
      </c>
      <c r="E33" s="38"/>
      <c r="H33" s="32"/>
    </row>
    <row r="34" customFormat="false" ht="15" hidden="false" customHeight="false" outlineLevel="0" collapsed="false">
      <c r="A34" s="0" t="s">
        <v>172</v>
      </c>
      <c r="B34" s="0" t="n">
        <f aca="false">B33*24</f>
        <v>7920</v>
      </c>
      <c r="C34" s="0" t="s">
        <v>173</v>
      </c>
      <c r="E34" s="38"/>
      <c r="H34" s="32"/>
    </row>
    <row r="35" customFormat="false" ht="15" hidden="false" customHeight="false" outlineLevel="0" collapsed="false">
      <c r="A35" s="0" t="s">
        <v>174</v>
      </c>
      <c r="B35" s="0" t="n">
        <v>2023.428</v>
      </c>
      <c r="C35" s="0" t="s">
        <v>175</v>
      </c>
      <c r="D35" s="0" t="s">
        <v>176</v>
      </c>
      <c r="E35" s="38"/>
      <c r="H35" s="32"/>
    </row>
    <row r="36" customFormat="false" ht="15" hidden="false" customHeight="false" outlineLevel="0" collapsed="false">
      <c r="A36" s="0" t="s">
        <v>177</v>
      </c>
      <c r="B36" s="0" t="n">
        <v>0.907185</v>
      </c>
      <c r="E36" s="39"/>
    </row>
    <row r="37" s="13" customFormat="true" ht="15" hidden="false" customHeight="false" outlineLevel="0" collapsed="false"/>
    <row r="38" customFormat="false" ht="15" hidden="false" customHeight="false" outlineLevel="0" collapsed="false">
      <c r="A38" s="40" t="s">
        <v>178</v>
      </c>
    </row>
    <row r="39" customFormat="false" ht="15" hidden="false" customHeight="false" outlineLevel="0" collapsed="false">
      <c r="B39" s="0" t="s">
        <v>179</v>
      </c>
    </row>
    <row r="40" customFormat="false" ht="15" hidden="false" customHeight="false" outlineLevel="0" collapsed="false">
      <c r="B40" s="41"/>
      <c r="C40" s="42" t="s">
        <v>180</v>
      </c>
      <c r="D40" s="42" t="s">
        <v>181</v>
      </c>
      <c r="E40" s="43" t="s">
        <v>182</v>
      </c>
      <c r="F40" s="1" t="s">
        <v>183</v>
      </c>
    </row>
    <row r="41" customFormat="false" ht="15" hidden="false" customHeight="false" outlineLevel="0" collapsed="false">
      <c r="A41" s="0" t="n">
        <f aca="false">D41*172000</f>
        <v>17253371.693756</v>
      </c>
      <c r="B41" s="44" t="s">
        <v>184</v>
      </c>
      <c r="C41" s="45" t="n">
        <v>91</v>
      </c>
      <c r="D41" s="46" t="n">
        <f aca="false">C41/$B$36</f>
        <v>100.310300545093</v>
      </c>
      <c r="E41" s="47" t="n">
        <f aca="false">TRUE()</f>
        <v>1</v>
      </c>
      <c r="F41" s="0" t="s">
        <v>185</v>
      </c>
    </row>
    <row r="42" customFormat="false" ht="15" hidden="false" customHeight="false" outlineLevel="0" collapsed="false">
      <c r="A42" s="0" t="n">
        <f aca="false">D42*172000</f>
        <v>2843962.36710263</v>
      </c>
      <c r="B42" s="44" t="s">
        <v>186</v>
      </c>
      <c r="C42" s="45" t="n">
        <v>15</v>
      </c>
      <c r="D42" s="46" t="n">
        <f aca="false">C42/$B$36</f>
        <v>16.5346649250153</v>
      </c>
      <c r="E42" s="47" t="n">
        <f aca="false">TRUE()</f>
        <v>1</v>
      </c>
    </row>
    <row r="43" customFormat="false" ht="15" hidden="false" customHeight="false" outlineLevel="0" collapsed="false">
      <c r="A43" s="0" t="n">
        <f aca="false">D43*172000</f>
        <v>1137584.94684105</v>
      </c>
      <c r="B43" s="44" t="s">
        <v>187</v>
      </c>
      <c r="C43" s="45" t="n">
        <v>6</v>
      </c>
      <c r="D43" s="46" t="n">
        <f aca="false">C43/$B$36</f>
        <v>6.61386597000612</v>
      </c>
      <c r="E43" s="47" t="n">
        <f aca="false">FALSE()</f>
        <v>0</v>
      </c>
    </row>
    <row r="44" customFormat="false" ht="15" hidden="false" customHeight="false" outlineLevel="0" collapsed="false">
      <c r="A44" s="0" t="n">
        <f aca="false">D44*172000</f>
        <v>5308729.75192491</v>
      </c>
      <c r="B44" s="44" t="s">
        <v>188</v>
      </c>
      <c r="C44" s="45" t="n">
        <v>28</v>
      </c>
      <c r="D44" s="46" t="n">
        <f aca="false">C44/$B$36</f>
        <v>30.8647078600285</v>
      </c>
      <c r="E44" s="47" t="n">
        <f aca="false">TRUE()</f>
        <v>1</v>
      </c>
      <c r="F44" s="0" t="s">
        <v>189</v>
      </c>
    </row>
    <row r="45" customFormat="false" ht="15" hidden="false" customHeight="false" outlineLevel="0" collapsed="false">
      <c r="A45" s="0" t="n">
        <f aca="false">D45*172000</f>
        <v>758389.964560702</v>
      </c>
      <c r="B45" s="44" t="s">
        <v>190</v>
      </c>
      <c r="C45" s="45" t="n">
        <v>4</v>
      </c>
      <c r="D45" s="46" t="n">
        <f aca="false">C45/$B$36</f>
        <v>4.40924398000408</v>
      </c>
      <c r="E45" s="47" t="n">
        <f aca="false">TRUE()</f>
        <v>1</v>
      </c>
      <c r="F45" s="0" t="s">
        <v>191</v>
      </c>
    </row>
    <row r="46" customFormat="false" ht="15" hidden="false" customHeight="false" outlineLevel="0" collapsed="false">
      <c r="A46" s="0" t="n">
        <f aca="false">D46*172000</f>
        <v>11755044.4506909</v>
      </c>
      <c r="B46" s="44" t="s">
        <v>192</v>
      </c>
      <c r="C46" s="45" t="n">
        <v>62</v>
      </c>
      <c r="D46" s="46" t="n">
        <f aca="false">C46/$B$36</f>
        <v>68.3432816900632</v>
      </c>
      <c r="E46" s="47" t="n">
        <f aca="false">FALSE()</f>
        <v>0</v>
      </c>
    </row>
    <row r="47" customFormat="false" ht="15" hidden="false" customHeight="false" outlineLevel="0" collapsed="false">
      <c r="A47" s="0" t="n">
        <f aca="false">D47*172000</f>
        <v>11755044.4506909</v>
      </c>
      <c r="B47" s="44" t="s">
        <v>193</v>
      </c>
      <c r="C47" s="45" t="n">
        <v>62</v>
      </c>
      <c r="D47" s="46" t="n">
        <f aca="false">C47/$B$36</f>
        <v>68.3432816900632</v>
      </c>
      <c r="E47" s="47" t="n">
        <f aca="false">TRUE()</f>
        <v>1</v>
      </c>
      <c r="F47" s="0" t="s">
        <v>194</v>
      </c>
    </row>
    <row r="48" customFormat="false" ht="15" hidden="false" customHeight="false" outlineLevel="0" collapsed="false">
      <c r="A48" s="0" t="n">
        <f aca="false">D48*172000</f>
        <v>7773497.13674719</v>
      </c>
      <c r="B48" s="44" t="s">
        <v>195</v>
      </c>
      <c r="C48" s="45" t="n">
        <v>41</v>
      </c>
      <c r="D48" s="46" t="n">
        <f aca="false">C48/$B$36</f>
        <v>45.1947507950418</v>
      </c>
      <c r="E48" s="47" t="n">
        <f aca="false">TRUE()</f>
        <v>1</v>
      </c>
      <c r="F48" s="0" t="s">
        <v>194</v>
      </c>
    </row>
    <row r="49" customFormat="false" ht="15" hidden="false" customHeight="false" outlineLevel="0" collapsed="false">
      <c r="A49" s="0" t="n">
        <f aca="false">D49*172000</f>
        <v>34506743.3875119</v>
      </c>
      <c r="B49" s="48" t="s">
        <v>196</v>
      </c>
      <c r="C49" s="49" t="n">
        <v>182</v>
      </c>
      <c r="D49" s="50" t="n">
        <f aca="false">C49/$B$36</f>
        <v>200.620601090186</v>
      </c>
      <c r="E49" s="51" t="n">
        <f aca="false">TRUE()</f>
        <v>1</v>
      </c>
      <c r="F49" s="0" t="s">
        <v>194</v>
      </c>
    </row>
    <row r="50" customFormat="false" ht="15" hidden="false" customHeight="false" outlineLevel="0" collapsed="false">
      <c r="A50" s="52" t="n">
        <f aca="false">SUM(A47:A49)/D59</f>
        <v>0.138480996860456</v>
      </c>
      <c r="B50" s="53" t="s">
        <v>197</v>
      </c>
      <c r="C50" s="54" t="n">
        <f aca="false">SUM(C41:C49)</f>
        <v>491</v>
      </c>
      <c r="D50" s="55" t="n">
        <f aca="false">SUM(D41:D49)</f>
        <v>541.234698545501</v>
      </c>
      <c r="E50" s="13"/>
      <c r="F50" s="0" t="s">
        <v>198</v>
      </c>
    </row>
    <row r="52" customFormat="false" ht="15" hidden="false" customHeight="false" outlineLevel="0" collapsed="false">
      <c r="B52" s="41" t="s">
        <v>199</v>
      </c>
      <c r="C52" s="56" t="s">
        <v>200</v>
      </c>
      <c r="D52" s="57" t="n">
        <v>22843635</v>
      </c>
      <c r="E52" s="58"/>
      <c r="F52" s="0" t="s">
        <v>201</v>
      </c>
    </row>
    <row r="53" customFormat="false" ht="15" hidden="false" customHeight="false" outlineLevel="0" collapsed="false">
      <c r="B53" s="53" t="s">
        <v>202</v>
      </c>
      <c r="C53" s="16" t="s">
        <v>203</v>
      </c>
      <c r="D53" s="59" t="n">
        <f aca="false">D52/B30</f>
        <v>14.2308881146204</v>
      </c>
      <c r="E53" s="51" t="n">
        <f aca="false">TRUE()</f>
        <v>1</v>
      </c>
    </row>
    <row r="54" customFormat="false" ht="15" hidden="false" customHeight="false" outlineLevel="0" collapsed="false">
      <c r="B54" s="60"/>
      <c r="C54" s="61"/>
      <c r="D54" s="62"/>
    </row>
    <row r="55" customFormat="false" ht="15" hidden="false" customHeight="false" outlineLevel="0" collapsed="false">
      <c r="B55" s="41" t="s">
        <v>204</v>
      </c>
      <c r="C55" s="56" t="s">
        <v>200</v>
      </c>
      <c r="D55" s="57" t="n">
        <f aca="false">-7.11*1.314*10000*0.9*2023</f>
        <v>-170099625.78</v>
      </c>
      <c r="E55" s="58"/>
      <c r="F55" s="0" t="s">
        <v>205</v>
      </c>
    </row>
    <row r="56" customFormat="false" ht="15" hidden="false" customHeight="false" outlineLevel="0" collapsed="false">
      <c r="B56" s="53" t="s">
        <v>206</v>
      </c>
      <c r="C56" s="16" t="s">
        <v>203</v>
      </c>
      <c r="D56" s="59" t="n">
        <f aca="false">D55/B30</f>
        <v>-105.966880613089</v>
      </c>
      <c r="E56" s="51" t="n">
        <f aca="false">FALSE()</f>
        <v>0</v>
      </c>
      <c r="F56" s="63"/>
    </row>
    <row r="57" customFormat="false" ht="15" hidden="false" customHeight="false" outlineLevel="0" collapsed="false">
      <c r="B57" s="60"/>
      <c r="C57" s="61"/>
      <c r="D57" s="62"/>
    </row>
    <row r="58" customFormat="false" ht="15" hidden="false" customHeight="false" outlineLevel="0" collapsed="false">
      <c r="A58" s="0" t="s">
        <v>207</v>
      </c>
      <c r="B58" s="41" t="s">
        <v>208</v>
      </c>
      <c r="C58" s="64" t="n">
        <v>0.137</v>
      </c>
      <c r="D58" s="24"/>
    </row>
    <row r="59" customFormat="false" ht="15" hidden="false" customHeight="false" outlineLevel="0" collapsed="false">
      <c r="A59" s="0" t="s">
        <v>209</v>
      </c>
      <c r="B59" s="41" t="s">
        <v>210</v>
      </c>
      <c r="C59" s="56" t="s">
        <v>200</v>
      </c>
      <c r="D59" s="65" t="n">
        <v>390200000</v>
      </c>
      <c r="E59" s="58"/>
    </row>
    <row r="60" customFormat="false" ht="15" hidden="false" customHeight="false" outlineLevel="0" collapsed="false">
      <c r="B60" s="44" t="s">
        <v>211</v>
      </c>
      <c r="C60" s="61" t="s">
        <v>200</v>
      </c>
      <c r="D60" s="66" t="n">
        <f aca="false">D59-IF(E56,D55,0)</f>
        <v>390200000</v>
      </c>
      <c r="E60" s="58"/>
    </row>
    <row r="61" customFormat="false" ht="15" hidden="false" customHeight="false" outlineLevel="0" collapsed="false">
      <c r="B61" s="44" t="s">
        <v>212</v>
      </c>
      <c r="C61" s="61" t="s">
        <v>200</v>
      </c>
      <c r="D61" s="66" t="n">
        <f aca="false">D60*C58</f>
        <v>53457400</v>
      </c>
      <c r="E61" s="58"/>
    </row>
    <row r="62" customFormat="false" ht="15" hidden="false" customHeight="false" outlineLevel="0" collapsed="false">
      <c r="B62" s="48" t="s">
        <v>212</v>
      </c>
      <c r="C62" s="16" t="s">
        <v>203</v>
      </c>
      <c r="D62" s="67" t="n">
        <f aca="false">-D60/B30</f>
        <v>-243.082703007856</v>
      </c>
      <c r="E62" s="51" t="n">
        <f aca="false">TRUE()</f>
        <v>1</v>
      </c>
    </row>
    <row r="63" customFormat="false" ht="15" hidden="false" customHeight="false" outlineLevel="0" collapsed="false">
      <c r="E63" s="68"/>
    </row>
    <row r="64" customFormat="false" ht="15" hidden="false" customHeight="false" outlineLevel="0" collapsed="false">
      <c r="A64" s="1" t="s">
        <v>213</v>
      </c>
      <c r="B64" s="1" t="s">
        <v>214</v>
      </c>
      <c r="C64" s="0" t="s">
        <v>215</v>
      </c>
      <c r="D64" s="68" t="n">
        <f aca="false">D50-SUMIFS(D41:D62,E41:E62,1)</f>
        <v>303.808962553305</v>
      </c>
    </row>
    <row r="65" customFormat="false" ht="15" hidden="false" customHeight="false" outlineLevel="0" collapsed="false">
      <c r="B65" s="1" t="s">
        <v>214</v>
      </c>
      <c r="C65" s="0" t="s">
        <v>216</v>
      </c>
      <c r="D65" s="69" t="n">
        <f aca="false">D64/1000</f>
        <v>0.303808962553305</v>
      </c>
    </row>
    <row r="66" customFormat="false" ht="15" hidden="false" customHeight="false" outlineLevel="0" collapsed="false">
      <c r="B66" s="70" t="s">
        <v>217</v>
      </c>
      <c r="C66" s="0" t="s">
        <v>218</v>
      </c>
      <c r="D66" s="71" t="n">
        <v>3.29427384524826</v>
      </c>
    </row>
    <row r="67" customFormat="false" ht="15" hidden="false" customHeight="false" outlineLevel="0" collapsed="false">
      <c r="B67" s="2" t="s">
        <v>219</v>
      </c>
      <c r="C67" s="2" t="s">
        <v>124</v>
      </c>
      <c r="D67" s="72" t="n">
        <f aca="false">D65/D66</f>
        <v>0.0922233477922688</v>
      </c>
    </row>
    <row r="68" customFormat="false" ht="15" hidden="false" customHeight="false" outlineLevel="0" collapsed="false">
      <c r="B68" s="2" t="s">
        <v>220</v>
      </c>
      <c r="C68" s="2" t="s">
        <v>132</v>
      </c>
      <c r="D68" s="72" t="n">
        <f aca="false">Algae_nonLandVariableCost*Algae_yield</f>
        <v>0.760842619286218</v>
      </c>
    </row>
    <row r="69" customFormat="false" ht="15" hidden="false" customHeight="false" outlineLevel="0" collapsed="false">
      <c r="B69" s="2"/>
      <c r="C69" s="2"/>
      <c r="D69" s="72"/>
    </row>
    <row r="70" customFormat="false" ht="15" hidden="false" customHeight="false" outlineLevel="0" collapsed="false">
      <c r="B70" s="2"/>
      <c r="C70" s="2"/>
      <c r="D70" s="72"/>
    </row>
    <row r="71" customFormat="false" ht="15" hidden="false" customHeight="false" outlineLevel="0" collapsed="false">
      <c r="B71" s="2"/>
      <c r="C71" s="2"/>
      <c r="D71" s="72"/>
    </row>
    <row r="73" s="13" customFormat="true" ht="15" hidden="false" customHeight="false" outlineLevel="0" collapsed="false"/>
    <row r="74" customFormat="false" ht="15" hidden="false" customHeight="false" outlineLevel="0" collapsed="false">
      <c r="A74" s="40" t="s">
        <v>221</v>
      </c>
    </row>
    <row r="75" customFormat="false" ht="15" hidden="false" customHeight="false" outlineLevel="0" collapsed="false">
      <c r="B75" s="73" t="s">
        <v>222</v>
      </c>
    </row>
    <row r="76" customFormat="false" ht="15.75" hidden="false" customHeight="false" outlineLevel="0" collapsed="false">
      <c r="B76" s="74" t="s">
        <v>223</v>
      </c>
      <c r="C76" s="75" t="s">
        <v>224</v>
      </c>
    </row>
    <row r="77" customFormat="false" ht="15.75" hidden="false" customHeight="false" outlineLevel="0" collapsed="false">
      <c r="B77" s="76" t="s">
        <v>225</v>
      </c>
      <c r="C77" s="77" t="n">
        <v>516</v>
      </c>
    </row>
    <row r="78" customFormat="false" ht="15.75" hidden="false" customHeight="false" outlineLevel="0" collapsed="false">
      <c r="B78" s="76" t="s">
        <v>226</v>
      </c>
      <c r="C78" s="78" t="n">
        <v>528</v>
      </c>
    </row>
    <row r="79" customFormat="false" ht="15.75" hidden="false" customHeight="false" outlineLevel="0" collapsed="false">
      <c r="B79" s="76" t="s">
        <v>227</v>
      </c>
      <c r="C79" s="79" t="n">
        <v>2082</v>
      </c>
    </row>
    <row r="80" customFormat="false" ht="15.75" hidden="false" customHeight="false" outlineLevel="0" collapsed="false">
      <c r="B80" s="80" t="s">
        <v>228</v>
      </c>
      <c r="C80" s="81"/>
    </row>
    <row r="81" customFormat="false" ht="16.5" hidden="false" customHeight="false" outlineLevel="0" collapsed="false">
      <c r="B81" s="76" t="s">
        <v>229</v>
      </c>
      <c r="C81" s="79" t="n">
        <v>1148</v>
      </c>
    </row>
    <row r="82" customFormat="false" ht="15.75" hidden="false" customHeight="false" outlineLevel="0" collapsed="false">
      <c r="B82" s="76" t="s">
        <v>186</v>
      </c>
      <c r="C82" s="78" t="n">
        <v>10</v>
      </c>
    </row>
    <row r="83" customFormat="false" ht="15.75" hidden="false" customHeight="false" outlineLevel="0" collapsed="false">
      <c r="B83" s="76" t="s">
        <v>230</v>
      </c>
      <c r="C83" s="78" t="n">
        <v>5</v>
      </c>
    </row>
    <row r="84" customFormat="false" ht="15.75" hidden="false" customHeight="false" outlineLevel="0" collapsed="false">
      <c r="B84" s="76" t="s">
        <v>231</v>
      </c>
      <c r="C84" s="79" t="n">
        <v>26790</v>
      </c>
    </row>
    <row r="85" customFormat="false" ht="15.75" hidden="false" customHeight="false" outlineLevel="0" collapsed="false">
      <c r="B85" s="76" t="s">
        <v>232</v>
      </c>
      <c r="C85" s="79" t="n">
        <v>234084</v>
      </c>
    </row>
    <row r="86" customFormat="false" ht="15.75" hidden="false" customHeight="false" outlineLevel="0" collapsed="false">
      <c r="B86" s="80" t="s">
        <v>233</v>
      </c>
      <c r="C86" s="81"/>
    </row>
    <row r="87" customFormat="false" ht="15.75" hidden="false" customHeight="false" outlineLevel="0" collapsed="false">
      <c r="B87" s="76" t="s">
        <v>234</v>
      </c>
      <c r="C87" s="79" t="n">
        <v>6272</v>
      </c>
    </row>
    <row r="88" customFormat="false" ht="15.75" hidden="false" customHeight="false" outlineLevel="0" collapsed="false">
      <c r="B88" s="76" t="s">
        <v>235</v>
      </c>
      <c r="C88" s="78" t="n">
        <v>0.33</v>
      </c>
    </row>
    <row r="89" customFormat="false" ht="15.75" hidden="false" customHeight="false" outlineLevel="0" collapsed="false">
      <c r="B89" s="80" t="s">
        <v>236</v>
      </c>
      <c r="C89" s="81"/>
    </row>
    <row r="90" customFormat="false" ht="15.75" hidden="false" customHeight="false" outlineLevel="0" collapsed="false">
      <c r="A90" s="32"/>
      <c r="B90" s="76" t="s">
        <v>237</v>
      </c>
      <c r="C90" s="79" t="n">
        <v>18060</v>
      </c>
    </row>
    <row r="91" customFormat="false" ht="16.5" hidden="false" customHeight="false" outlineLevel="0" collapsed="false">
      <c r="B91" s="76" t="s">
        <v>238</v>
      </c>
      <c r="C91" s="78" t="n">
        <v>114</v>
      </c>
    </row>
    <row r="92" customFormat="false" ht="16.5" hidden="false" customHeight="false" outlineLevel="0" collapsed="false">
      <c r="B92" s="76" t="s">
        <v>239</v>
      </c>
      <c r="C92" s="78" t="n">
        <v>890</v>
      </c>
    </row>
    <row r="93" customFormat="false" ht="15" hidden="false" customHeight="false" outlineLevel="0" collapsed="false">
      <c r="B93" s="82"/>
      <c r="C93" s="83"/>
    </row>
    <row r="94" customFormat="false" ht="15" hidden="false" customHeight="false" outlineLevel="0" collapsed="false">
      <c r="B94" s="84" t="s">
        <v>240</v>
      </c>
      <c r="C94" s="85" t="n">
        <v>516</v>
      </c>
    </row>
    <row r="95" customFormat="false" ht="15" hidden="false" customHeight="false" outlineLevel="0" collapsed="false">
      <c r="B95" s="84" t="s">
        <v>241</v>
      </c>
      <c r="C95" s="86" t="n">
        <f aca="false">C94/B35/10000*1000000*330/1000</f>
        <v>8.41542174962489</v>
      </c>
    </row>
    <row r="96" customFormat="false" ht="15" hidden="false" customHeight="false" outlineLevel="0" collapsed="false">
      <c r="B96" s="84" t="s">
        <v>242</v>
      </c>
      <c r="C96" s="86" t="n">
        <f aca="false">C85*330</f>
        <v>77247720</v>
      </c>
    </row>
    <row r="98" customFormat="false" ht="15.75" hidden="false" customHeight="false" outlineLevel="0" collapsed="false">
      <c r="A98" s="1" t="s">
        <v>243</v>
      </c>
    </row>
    <row r="99" customFormat="false" ht="15.75" hidden="false" customHeight="false" outlineLevel="0" collapsed="false">
      <c r="A99" s="0" t="s">
        <v>244</v>
      </c>
      <c r="B99" s="76" t="s">
        <v>245</v>
      </c>
      <c r="C99" s="87" t="n">
        <f aca="false">C85/$C$94</f>
        <v>453.651162790698</v>
      </c>
    </row>
    <row r="100" customFormat="false" ht="15.75" hidden="false" customHeight="false" outlineLevel="0" collapsed="false">
      <c r="B100" s="76" t="s">
        <v>246</v>
      </c>
      <c r="C100" s="88" t="n">
        <v>0.0036</v>
      </c>
    </row>
    <row r="101" customFormat="false" ht="15.75" hidden="false" customHeight="false" outlineLevel="0" collapsed="false">
      <c r="B101" s="76" t="s">
        <v>247</v>
      </c>
      <c r="C101" s="89" t="n">
        <f aca="false">C85*330*C100/(B35*10000)</f>
        <v>0.0137435971035293</v>
      </c>
      <c r="D101" s="90"/>
    </row>
    <row r="102" customFormat="false" ht="15.75" hidden="false" customHeight="false" outlineLevel="0" collapsed="false">
      <c r="B102" s="91" t="s">
        <v>248</v>
      </c>
      <c r="C102" s="92" t="n">
        <f aca="false">C100*C99</f>
        <v>1.63314418604651</v>
      </c>
      <c r="D102" s="0" t="s">
        <v>249</v>
      </c>
    </row>
    <row r="104" customFormat="false" ht="15.75" hidden="false" customHeight="false" outlineLevel="0" collapsed="false">
      <c r="A104" s="0" t="s">
        <v>250</v>
      </c>
      <c r="B104" s="76" t="s">
        <v>251</v>
      </c>
      <c r="C104" s="87" t="n">
        <v>17</v>
      </c>
    </row>
    <row r="105" customFormat="false" ht="15.75" hidden="false" customHeight="false" outlineLevel="0" collapsed="false">
      <c r="B105" s="76" t="s">
        <v>252</v>
      </c>
      <c r="C105" s="88" t="n">
        <f aca="false">C104*B34</f>
        <v>134640</v>
      </c>
    </row>
    <row r="106" customFormat="false" ht="15.75" hidden="false" customHeight="false" outlineLevel="0" collapsed="false">
      <c r="B106" s="76" t="s">
        <v>253</v>
      </c>
      <c r="C106" s="93" t="n">
        <f aca="false">C105/B29</f>
        <v>0.790697674418605</v>
      </c>
    </row>
    <row r="108" customFormat="false" ht="15" hidden="false" customHeight="false" outlineLevel="0" collapsed="false">
      <c r="A108" s="0" t="s">
        <v>254</v>
      </c>
      <c r="B108" s="0" t="s">
        <v>255</v>
      </c>
      <c r="C108" s="94" t="n">
        <f aca="false">(C91+C81)/C94</f>
        <v>2.44573643410853</v>
      </c>
    </row>
    <row r="109" customFormat="false" ht="15" hidden="false" customHeight="false" outlineLevel="0" collapsed="false">
      <c r="B109" s="0" t="s">
        <v>256</v>
      </c>
      <c r="C109" s="0" t="n">
        <v>1.78</v>
      </c>
      <c r="D109" s="0" t="s">
        <v>257</v>
      </c>
    </row>
    <row r="110" customFormat="false" ht="15" hidden="false" customHeight="false" outlineLevel="0" collapsed="false">
      <c r="B110" s="0" t="s">
        <v>258</v>
      </c>
      <c r="C110" s="0" t="n">
        <v>582</v>
      </c>
      <c r="D110" s="0" t="s">
        <v>257</v>
      </c>
    </row>
    <row r="111" customFormat="false" ht="15" hidden="false" customHeight="false" outlineLevel="0" collapsed="false">
      <c r="B111" s="0" t="s">
        <v>259</v>
      </c>
      <c r="C111" s="28" t="n">
        <f aca="false">C110*C108/1000</f>
        <v>1.42341860465116</v>
      </c>
      <c r="D111" s="0" t="s">
        <v>260</v>
      </c>
    </row>
    <row r="112" customFormat="false" ht="15" hidden="false" customHeight="false" outlineLevel="0" collapsed="false">
      <c r="B112" s="0" t="s">
        <v>261</v>
      </c>
      <c r="C112" s="0" t="n">
        <v>0.147</v>
      </c>
      <c r="D112" s="0" t="s">
        <v>257</v>
      </c>
    </row>
    <row r="113" customFormat="false" ht="15" hidden="false" customHeight="false" outlineLevel="0" collapsed="false">
      <c r="B113" s="0" t="s">
        <v>262</v>
      </c>
      <c r="C113" s="39" t="n">
        <f aca="false">C111/C100</f>
        <v>395.394056847545</v>
      </c>
      <c r="D113" s="0" t="s">
        <v>263</v>
      </c>
    </row>
    <row r="114" customFormat="false" ht="15" hidden="false" customHeight="false" outlineLevel="0" collapsed="false">
      <c r="B114" s="95" t="s">
        <v>264</v>
      </c>
      <c r="C114" s="96" t="n">
        <f aca="false">C113*0.0682</f>
        <v>26.9658746770026</v>
      </c>
      <c r="D114" s="95" t="s">
        <v>265</v>
      </c>
    </row>
    <row r="115" customFormat="false" ht="15" hidden="false" customHeight="false" outlineLevel="0" collapsed="false">
      <c r="B115" s="95" t="s">
        <v>266</v>
      </c>
      <c r="C115" s="96" t="n">
        <f aca="false">D41-C114</f>
        <v>73.3444258680902</v>
      </c>
      <c r="D115" s="95" t="s">
        <v>265</v>
      </c>
    </row>
    <row r="116" customFormat="false" ht="15" hidden="false" customHeight="false" outlineLevel="0" collapsed="false">
      <c r="C116" s="28"/>
    </row>
    <row r="118" customFormat="false" ht="15.75" hidden="false" customHeight="false" outlineLevel="0" collapsed="false">
      <c r="C118" s="97" t="s">
        <v>267</v>
      </c>
    </row>
    <row r="119" customFormat="false" ht="15.75" hidden="false" customHeight="false" outlineLevel="0" collapsed="false">
      <c r="A119" s="1" t="s">
        <v>268</v>
      </c>
      <c r="B119" s="91" t="s">
        <v>269</v>
      </c>
      <c r="C119" s="98" t="n">
        <f aca="false">C81/$C$94</f>
        <v>2.22480620155039</v>
      </c>
      <c r="D119" s="0" t="s">
        <v>270</v>
      </c>
      <c r="E119" s="0" t="s">
        <v>271</v>
      </c>
    </row>
    <row r="120" customFormat="false" ht="15.75" hidden="false" customHeight="false" outlineLevel="0" collapsed="false">
      <c r="B120" s="91" t="s">
        <v>186</v>
      </c>
      <c r="C120" s="98" t="n">
        <f aca="false">C82/$C$94</f>
        <v>0.0193798449612403</v>
      </c>
      <c r="D120" s="0" t="s">
        <v>270</v>
      </c>
      <c r="E120" s="0" t="s">
        <v>271</v>
      </c>
    </row>
    <row r="121" customFormat="false" ht="15.75" hidden="false" customHeight="false" outlineLevel="0" collapsed="false">
      <c r="B121" s="91" t="s">
        <v>230</v>
      </c>
      <c r="C121" s="98" t="n">
        <f aca="false">C83/$C$94</f>
        <v>0.00968992248062015</v>
      </c>
      <c r="D121" s="0" t="s">
        <v>270</v>
      </c>
      <c r="E121" s="0" t="s">
        <v>271</v>
      </c>
    </row>
    <row r="122" customFormat="false" ht="15.75" hidden="false" customHeight="false" outlineLevel="0" collapsed="false">
      <c r="B122" s="91" t="s">
        <v>272</v>
      </c>
      <c r="C122" s="98" t="n">
        <f aca="false">C84/$C$94</f>
        <v>51.9186046511628</v>
      </c>
      <c r="D122" s="0" t="s">
        <v>270</v>
      </c>
      <c r="E122" s="0" t="s">
        <v>273</v>
      </c>
    </row>
    <row r="123" customFormat="false" ht="15" hidden="false" customHeight="false" outlineLevel="0" collapsed="false">
      <c r="B123" s="99" t="s">
        <v>274</v>
      </c>
      <c r="C123" s="100" t="n">
        <f aca="false">330*C84/(B35*10000)</f>
        <v>0.436916954791572</v>
      </c>
      <c r="D123" s="0" t="s">
        <v>275</v>
      </c>
    </row>
    <row r="124" customFormat="false" ht="15" hidden="false" customHeight="false" outlineLevel="0" collapsed="false">
      <c r="C124" s="100"/>
    </row>
    <row r="126" customFormat="false" ht="15.75" hidden="false" customHeight="false" outlineLevel="0" collapsed="false">
      <c r="A126" s="0" t="s">
        <v>276</v>
      </c>
      <c r="C126" s="97" t="s">
        <v>267</v>
      </c>
    </row>
    <row r="127" customFormat="false" ht="15.75" hidden="false" customHeight="false" outlineLevel="0" collapsed="false">
      <c r="B127" s="76" t="s">
        <v>277</v>
      </c>
      <c r="C127" s="101" t="n">
        <f aca="false">SUM(C77:C79)/C94</f>
        <v>6.05813953488372</v>
      </c>
    </row>
    <row r="128" customFormat="false" ht="15.75" hidden="false" customHeight="false" outlineLevel="0" collapsed="false">
      <c r="B128" s="76" t="s">
        <v>234</v>
      </c>
      <c r="C128" s="101" t="n">
        <f aca="false">C87/$C$94</f>
        <v>12.1550387596899</v>
      </c>
    </row>
    <row r="129" customFormat="false" ht="15.75" hidden="false" customHeight="false" outlineLevel="0" collapsed="false">
      <c r="B129" s="76" t="s">
        <v>235</v>
      </c>
      <c r="C129" s="101" t="n">
        <f aca="false">C88/$C$94</f>
        <v>0.00063953488372093</v>
      </c>
    </row>
    <row r="130" customFormat="false" ht="15.75" hidden="false" customHeight="false" outlineLevel="0" collapsed="false">
      <c r="B130" s="76" t="s">
        <v>237</v>
      </c>
      <c r="C130" s="102" t="n">
        <f aca="false">C90/$C$94</f>
        <v>35</v>
      </c>
    </row>
    <row r="131" customFormat="false" ht="16.5" hidden="false" customHeight="false" outlineLevel="0" collapsed="false">
      <c r="B131" s="76" t="s">
        <v>238</v>
      </c>
      <c r="C131" s="101" t="n">
        <f aca="false">C91/$C$94</f>
        <v>0.22093023255814</v>
      </c>
    </row>
    <row r="132" customFormat="false" ht="16.5" hidden="false" customHeight="false" outlineLevel="0" collapsed="false">
      <c r="B132" s="76" t="s">
        <v>239</v>
      </c>
      <c r="C132" s="101" t="n">
        <f aca="false">C92/$C$94</f>
        <v>1.72480620155039</v>
      </c>
    </row>
  </sheetData>
  <hyperlinks>
    <hyperlink ref="A2" r:id="rId1" display="http://www.nrel.gov/docs/fy16osti/64772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:P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M57:AC68 E14"/>
    </sheetView>
  </sheetViews>
  <sheetFormatPr defaultRowHeight="15"/>
  <cols>
    <col collapsed="false" hidden="false" max="1" min="1" style="0" width="26.0510204081633"/>
    <col collapsed="false" hidden="false" max="2" min="2" style="0" width="23.0816326530612"/>
    <col collapsed="false" hidden="false" max="3" min="3" style="0" width="15.1173469387755"/>
    <col collapsed="false" hidden="false" max="4" min="4" style="0" width="14.0408163265306"/>
    <col collapsed="false" hidden="false" max="5" min="5" style="0" width="19.1683673469388"/>
    <col collapsed="false" hidden="false" max="6" min="6" style="0" width="9.85204081632653"/>
    <col collapsed="false" hidden="false" max="7" min="7" style="0" width="14.7142857142857"/>
    <col collapsed="false" hidden="false" max="12" min="8" style="0" width="8.63775510204082"/>
    <col collapsed="false" hidden="false" max="13" min="13" style="0" width="12.2857142857143"/>
    <col collapsed="false" hidden="false" max="14" min="14" style="0" width="11.6071428571429"/>
    <col collapsed="false" hidden="false" max="19" min="15" style="0" width="8.63775510204082"/>
    <col collapsed="false" hidden="false" max="20" min="20" style="0" width="11.7448979591837"/>
    <col collapsed="false" hidden="false" max="1025" min="21" style="0" width="8.63775510204082"/>
  </cols>
  <sheetData>
    <row r="1" customFormat="false" ht="26.25" hidden="false" customHeight="false" outlineLevel="0" collapsed="false">
      <c r="A1" s="8" t="s">
        <v>278</v>
      </c>
    </row>
    <row r="2" customFormat="false" ht="15" hidden="false" customHeight="false" outlineLevel="0" collapsed="false">
      <c r="A2" s="9" t="s">
        <v>279</v>
      </c>
    </row>
    <row r="3" customFormat="false" ht="15" hidden="false" customHeight="false" outlineLevel="0" collapsed="false">
      <c r="A3" s="0" t="s">
        <v>280</v>
      </c>
    </row>
    <row r="4" customFormat="false" ht="15" hidden="false" customHeight="false" outlineLevel="0" collapsed="false">
      <c r="A4" s="9"/>
    </row>
    <row r="6" customFormat="false" ht="15" hidden="false" customHeight="false" outlineLevel="0" collapsed="false">
      <c r="A6" s="9"/>
    </row>
    <row r="7" customFormat="false" ht="15" hidden="false" customHeight="false" outlineLevel="0" collapsed="false">
      <c r="A7" s="11" t="s">
        <v>111</v>
      </c>
      <c r="B7" s="12" t="s">
        <v>30</v>
      </c>
    </row>
    <row r="8" customFormat="false" ht="15" hidden="false" customHeight="false" outlineLevel="0" collapsed="false">
      <c r="A8" s="0" t="s">
        <v>15</v>
      </c>
      <c r="B8" s="0" t="s">
        <v>281</v>
      </c>
    </row>
    <row r="9" s="13" customFormat="true" ht="15" hidden="false" customHeight="false" outlineLevel="0" collapsed="false"/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2" customFormat="false" ht="15" hidden="false" customHeight="false" outlineLevel="0" collapsed="false">
      <c r="B12" s="60" t="s">
        <v>114</v>
      </c>
      <c r="C12" s="0" t="s">
        <v>282</v>
      </c>
    </row>
    <row r="13" customFormat="false" ht="15" hidden="false" customHeight="false" outlineLevel="0" collapsed="false">
      <c r="A13" s="0" t="s">
        <v>283</v>
      </c>
      <c r="B13" s="20" t="s">
        <v>284</v>
      </c>
      <c r="C13" s="20" t="n">
        <v>1</v>
      </c>
      <c r="D13" s="0" t="s">
        <v>285</v>
      </c>
    </row>
    <row r="14" customFormat="false" ht="15" hidden="false" customHeight="false" outlineLevel="0" collapsed="false">
      <c r="A14" s="0" t="s">
        <v>286</v>
      </c>
      <c r="B14" s="20" t="s">
        <v>287</v>
      </c>
      <c r="C14" s="103" t="n">
        <f aca="false">C78/B30/1000</f>
        <v>0.00276159588320949</v>
      </c>
      <c r="D14" s="0" t="s">
        <v>285</v>
      </c>
      <c r="E14" s="0" t="s">
        <v>288</v>
      </c>
      <c r="F14" s="0" t="s">
        <v>289</v>
      </c>
    </row>
    <row r="15" customFormat="false" ht="15" hidden="false" customHeight="false" outlineLevel="0" collapsed="false">
      <c r="A15" s="0" t="s">
        <v>290</v>
      </c>
      <c r="B15" s="20" t="s">
        <v>291</v>
      </c>
      <c r="C15" s="103" t="n">
        <f aca="false">B44/B30/1000</f>
        <v>0</v>
      </c>
      <c r="D15" s="0" t="s">
        <v>285</v>
      </c>
    </row>
    <row r="16" customFormat="false" ht="15" hidden="false" customHeight="false" outlineLevel="0" collapsed="false">
      <c r="A16" s="16" t="s">
        <v>292</v>
      </c>
      <c r="B16" s="20" t="s">
        <v>293</v>
      </c>
      <c r="C16" s="104" t="n">
        <f aca="false">SUM(C17:C20)</f>
        <v>0.0251886489521332</v>
      </c>
      <c r="D16" s="16" t="s">
        <v>294</v>
      </c>
      <c r="E16" s="16"/>
    </row>
    <row r="17" customFormat="false" ht="15" hidden="false" customHeight="false" outlineLevel="0" collapsed="false">
      <c r="A17" s="0" t="s">
        <v>295</v>
      </c>
      <c r="C17" s="105" t="n">
        <f aca="false">C76/B30/B25/1000</f>
        <v>0</v>
      </c>
      <c r="E17" s="0" t="s">
        <v>296</v>
      </c>
    </row>
    <row r="18" customFormat="false" ht="15" hidden="false" customHeight="false" outlineLevel="0" collapsed="false">
      <c r="A18" s="0" t="s">
        <v>297</v>
      </c>
      <c r="C18" s="105" t="n">
        <f aca="false">D92/B30/B25/1000</f>
        <v>0.00154348098700639</v>
      </c>
    </row>
    <row r="19" customFormat="false" ht="15" hidden="false" customHeight="false" outlineLevel="0" collapsed="false">
      <c r="A19" s="0" t="s">
        <v>298</v>
      </c>
      <c r="C19" s="105" t="n">
        <f aca="false">D107/B30/B25/1000</f>
        <v>0.00555126568923141</v>
      </c>
    </row>
    <row r="20" customFormat="false" ht="15" hidden="false" customHeight="false" outlineLevel="0" collapsed="false">
      <c r="A20" s="0" t="s">
        <v>299</v>
      </c>
      <c r="C20" s="105" t="n">
        <f aca="false">D108/B30/B25/1000</f>
        <v>0.0180939022758954</v>
      </c>
    </row>
    <row r="21" customFormat="false" ht="15" hidden="false" customHeight="false" outlineLevel="0" collapsed="false">
      <c r="B21" s="106"/>
      <c r="C21" s="106"/>
    </row>
    <row r="22" s="13" customFormat="true" ht="15" hidden="false" customHeight="false" outlineLevel="0" collapsed="false"/>
    <row r="23" customFormat="false" ht="15" hidden="false" customHeight="false" outlineLevel="0" collapsed="false">
      <c r="A23" s="107" t="s">
        <v>300</v>
      </c>
      <c r="C23" s="108"/>
    </row>
    <row r="24" customFormat="false" ht="15" hidden="false" customHeight="false" outlineLevel="0" collapsed="false">
      <c r="C24" s="63"/>
      <c r="L24" s="38"/>
    </row>
    <row r="25" customFormat="false" ht="15" hidden="false" customHeight="false" outlineLevel="0" collapsed="false">
      <c r="A25" s="73" t="s">
        <v>301</v>
      </c>
      <c r="B25" s="109" t="n">
        <v>3.29427384524826</v>
      </c>
      <c r="L25" s="38"/>
    </row>
    <row r="26" customFormat="false" ht="15" hidden="false" customHeight="false" outlineLevel="0" collapsed="false">
      <c r="C26" s="28"/>
      <c r="L26" s="28"/>
      <c r="O26" s="32"/>
    </row>
    <row r="27" customFormat="false" ht="15" hidden="false" customHeight="false" outlineLevel="0" collapsed="false">
      <c r="A27" s="0" t="s">
        <v>302</v>
      </c>
      <c r="B27" s="0" t="n">
        <v>1215</v>
      </c>
      <c r="C27" s="0" t="s">
        <v>303</v>
      </c>
      <c r="D27" s="0" t="s">
        <v>304</v>
      </c>
    </row>
    <row r="28" customFormat="false" ht="15" hidden="false" customHeight="false" outlineLevel="0" collapsed="false">
      <c r="A28" s="0" t="s">
        <v>305</v>
      </c>
      <c r="B28" s="0" t="n">
        <v>0.9</v>
      </c>
      <c r="C28" s="0" t="s">
        <v>306</v>
      </c>
      <c r="L28" s="38"/>
    </row>
    <row r="29" customFormat="false" ht="15" hidden="false" customHeight="false" outlineLevel="0" collapsed="false">
      <c r="A29" s="0" t="s">
        <v>307</v>
      </c>
      <c r="B29" s="0" t="n">
        <f aca="false">B27*1000/24/B28</f>
        <v>56250</v>
      </c>
      <c r="C29" s="0" t="s">
        <v>308</v>
      </c>
      <c r="D29" s="0" t="s">
        <v>309</v>
      </c>
    </row>
    <row r="30" customFormat="false" ht="15" hidden="false" customHeight="false" outlineLevel="0" collapsed="false">
      <c r="A30" s="0" t="s">
        <v>310</v>
      </c>
      <c r="B30" s="37" t="n">
        <f aca="false">B27*365</f>
        <v>443475</v>
      </c>
      <c r="C30" s="0" t="s">
        <v>311</v>
      </c>
      <c r="L30" s="38"/>
      <c r="O30" s="32"/>
    </row>
    <row r="31" customFormat="false" ht="15" hidden="false" customHeight="false" outlineLevel="0" collapsed="false">
      <c r="A31" s="0" t="s">
        <v>312</v>
      </c>
      <c r="B31" s="37" t="n">
        <f aca="false">WE!B34</f>
        <v>9376.25732347867</v>
      </c>
      <c r="C31" s="0" t="s">
        <v>313</v>
      </c>
      <c r="D31" s="0" t="s">
        <v>314</v>
      </c>
      <c r="L31" s="39"/>
    </row>
    <row r="32" customFormat="false" ht="15" hidden="false" customHeight="false" outlineLevel="0" collapsed="false">
      <c r="B32" s="37" t="n">
        <f aca="false">B31/B28/24*1000</f>
        <v>434085.987198087</v>
      </c>
      <c r="C32" s="0" t="s">
        <v>308</v>
      </c>
    </row>
    <row r="34" s="13" customFormat="true" ht="15" hidden="false" customHeight="false" outlineLevel="0" collapsed="false">
      <c r="L34" s="110"/>
      <c r="O34" s="34"/>
    </row>
    <row r="35" s="112" customFormat="true" ht="15" hidden="false" customHeight="false" outlineLevel="0" collapsed="false">
      <c r="A35" s="111" t="s">
        <v>315</v>
      </c>
      <c r="L35" s="113"/>
      <c r="O35" s="114"/>
    </row>
    <row r="36" s="112" customFormat="true" ht="15" hidden="false" customHeight="false" outlineLevel="0" collapsed="false">
      <c r="A36" s="0"/>
      <c r="L36" s="113"/>
      <c r="O36" s="114"/>
    </row>
    <row r="37" customFormat="false" ht="15" hidden="false" customHeight="false" outlineLevel="0" collapsed="false">
      <c r="A37" s="0" t="s">
        <v>316</v>
      </c>
    </row>
    <row r="38" customFormat="false" ht="15" hidden="false" customHeight="false" outlineLevel="0" collapsed="false">
      <c r="A38" s="0" t="s">
        <v>317</v>
      </c>
      <c r="B38" s="0" t="n">
        <f aca="false">WED!B61</f>
        <v>1160785864601.38</v>
      </c>
      <c r="C38" s="0" t="s">
        <v>318</v>
      </c>
    </row>
    <row r="40" customFormat="false" ht="15" hidden="false" customHeight="false" outlineLevel="0" collapsed="false">
      <c r="A40" s="14" t="s">
        <v>319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customFormat="false" ht="15" hidden="false" customHeight="false" outlineLevel="0" collapsed="false">
      <c r="A41" s="0" t="s">
        <v>320</v>
      </c>
      <c r="B41" s="115" t="n">
        <f aca="false">WED!B45*(B32/WED!B46)^WED!B48</f>
        <v>146688342.476239</v>
      </c>
      <c r="C41" s="0" t="s">
        <v>321</v>
      </c>
      <c r="D41" s="0" t="s">
        <v>322</v>
      </c>
    </row>
    <row r="42" customFormat="false" ht="15" hidden="false" customHeight="false" outlineLevel="0" collapsed="false">
      <c r="A42" s="0" t="s">
        <v>323</v>
      </c>
      <c r="B42" s="0" t="n">
        <v>0</v>
      </c>
      <c r="C42" s="0" t="s">
        <v>324</v>
      </c>
    </row>
    <row r="43" customFormat="false" ht="15" hidden="false" customHeight="false" outlineLevel="0" collapsed="false">
      <c r="A43" s="0" t="s">
        <v>325</v>
      </c>
      <c r="B43" s="37" t="n">
        <f aca="false">B38*(1.05506*10^(-6))</f>
        <v>1224698.73430633</v>
      </c>
      <c r="C43" s="0" t="s">
        <v>326</v>
      </c>
    </row>
    <row r="44" customFormat="false" ht="15" hidden="false" customHeight="false" outlineLevel="0" collapsed="false">
      <c r="A44" s="0" t="s">
        <v>327</v>
      </c>
      <c r="B44" s="0" t="n">
        <v>0</v>
      </c>
      <c r="C44" s="0" t="s">
        <v>326</v>
      </c>
    </row>
    <row r="46" customFormat="false" ht="15" hidden="false" customHeight="false" outlineLevel="0" collapsed="false">
      <c r="A46" s="14" t="s">
        <v>328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customFormat="false" ht="15" hidden="false" customHeight="false" outlineLevel="0" collapsed="false">
      <c r="A47" s="0" t="s">
        <v>320</v>
      </c>
      <c r="B47" s="115" t="n">
        <f aca="false">WED!B92</f>
        <v>4500000</v>
      </c>
      <c r="C47" s="0" t="s">
        <v>321</v>
      </c>
      <c r="D47" s="0" t="s">
        <v>329</v>
      </c>
    </row>
    <row r="48" customFormat="false" ht="15" hidden="false" customHeight="false" outlineLevel="0" collapsed="false">
      <c r="A48" s="0" t="s">
        <v>323</v>
      </c>
      <c r="B48" s="115" t="n">
        <f aca="false">WED!B93</f>
        <v>0</v>
      </c>
      <c r="C48" s="0" t="s">
        <v>324</v>
      </c>
      <c r="D48" s="0" t="s">
        <v>330</v>
      </c>
    </row>
    <row r="49" customFormat="false" ht="15" hidden="false" customHeight="false" outlineLevel="0" collapsed="false">
      <c r="A49" s="0" t="s">
        <v>325</v>
      </c>
      <c r="B49" s="115" t="n">
        <f aca="false">WED!B94</f>
        <v>0</v>
      </c>
      <c r="C49" s="0" t="s">
        <v>326</v>
      </c>
    </row>
    <row r="50" customFormat="false" ht="15" hidden="false" customHeight="false" outlineLevel="0" collapsed="false">
      <c r="A50" s="0" t="s">
        <v>327</v>
      </c>
      <c r="B50" s="115" t="n">
        <f aca="false">WED!B95</f>
        <v>0</v>
      </c>
      <c r="C50" s="0" t="s">
        <v>326</v>
      </c>
    </row>
    <row r="52" s="13" customFormat="true" ht="15" hidden="false" customHeight="false" outlineLevel="0" collapsed="false">
      <c r="L52" s="110"/>
      <c r="O52" s="34"/>
    </row>
    <row r="53" s="112" customFormat="true" ht="15" hidden="false" customHeight="false" outlineLevel="0" collapsed="false">
      <c r="A53" s="111" t="s">
        <v>331</v>
      </c>
      <c r="L53" s="113"/>
      <c r="O53" s="114"/>
    </row>
    <row r="55" customFormat="false" ht="15" hidden="false" customHeight="false" outlineLevel="0" collapsed="false">
      <c r="A55" s="0" t="s">
        <v>332</v>
      </c>
      <c r="B55" s="0" t="s">
        <v>333</v>
      </c>
    </row>
    <row r="56" customFormat="false" ht="15" hidden="false" customHeight="false" outlineLevel="0" collapsed="false">
      <c r="A56" s="0" t="s">
        <v>334</v>
      </c>
      <c r="B56" s="0" t="n">
        <v>4</v>
      </c>
      <c r="C56" s="115" t="n">
        <f aca="false">B56/100*$B$47</f>
        <v>180000</v>
      </c>
    </row>
    <row r="57" customFormat="false" ht="15" hidden="false" customHeight="false" outlineLevel="0" collapsed="false">
      <c r="A57" s="0" t="s">
        <v>335</v>
      </c>
      <c r="B57" s="0" t="n">
        <v>9</v>
      </c>
      <c r="C57" s="115" t="n">
        <f aca="false">B57/100*$B$47</f>
        <v>405000</v>
      </c>
    </row>
    <row r="58" customFormat="false" ht="15" hidden="false" customHeight="false" outlineLevel="0" collapsed="false">
      <c r="A58" s="0" t="s">
        <v>336</v>
      </c>
      <c r="B58" s="0" t="n">
        <v>4.5</v>
      </c>
      <c r="C58" s="115" t="n">
        <f aca="false">B58/100*$B$47</f>
        <v>202500</v>
      </c>
    </row>
    <row r="60" customFormat="false" ht="15" hidden="false" customHeight="false" outlineLevel="0" collapsed="false">
      <c r="A60" s="73" t="s">
        <v>337</v>
      </c>
      <c r="C60" s="115" t="n">
        <f aca="false">B41+B47+C56+C57+C58</f>
        <v>151975842.476239</v>
      </c>
      <c r="D60" s="73"/>
    </row>
    <row r="62" customFormat="false" ht="15" hidden="false" customHeight="false" outlineLevel="0" collapsed="false">
      <c r="A62" s="0" t="s">
        <v>338</v>
      </c>
      <c r="B62" s="0" t="s">
        <v>339</v>
      </c>
      <c r="C62" s="0" t="s">
        <v>340</v>
      </c>
    </row>
    <row r="63" customFormat="false" ht="15" hidden="false" customHeight="false" outlineLevel="0" collapsed="false">
      <c r="A63" s="0" t="s">
        <v>341</v>
      </c>
      <c r="B63" s="0" t="n">
        <v>10</v>
      </c>
      <c r="C63" s="115" t="n">
        <f aca="false">B63/100*$C$60</f>
        <v>15197584.2476239</v>
      </c>
    </row>
    <row r="64" customFormat="false" ht="15" hidden="false" customHeight="false" outlineLevel="0" collapsed="false">
      <c r="A64" s="0" t="s">
        <v>342</v>
      </c>
      <c r="B64" s="0" t="n">
        <v>10</v>
      </c>
      <c r="C64" s="115" t="n">
        <f aca="false">B64/100*$C$60</f>
        <v>15197584.2476239</v>
      </c>
    </row>
    <row r="65" customFormat="false" ht="15" hidden="false" customHeight="false" outlineLevel="0" collapsed="false">
      <c r="A65" s="0" t="s">
        <v>343</v>
      </c>
      <c r="B65" s="0" t="n">
        <v>20</v>
      </c>
      <c r="C65" s="115" t="n">
        <f aca="false">B65/100*$C$60</f>
        <v>30395168.4952479</v>
      </c>
    </row>
    <row r="66" customFormat="false" ht="15" hidden="false" customHeight="false" outlineLevel="0" collapsed="false">
      <c r="A66" s="0" t="s">
        <v>344</v>
      </c>
      <c r="B66" s="0" t="n">
        <v>10</v>
      </c>
      <c r="C66" s="115" t="n">
        <f aca="false">B66/100*$C$60</f>
        <v>15197584.2476239</v>
      </c>
    </row>
    <row r="67" customFormat="false" ht="15" hidden="false" customHeight="false" outlineLevel="0" collapsed="false">
      <c r="A67" s="0" t="s">
        <v>345</v>
      </c>
      <c r="B67" s="0" t="n">
        <v>10</v>
      </c>
      <c r="C67" s="115" t="n">
        <f aca="false">B67/100*$C$60</f>
        <v>15197584.2476239</v>
      </c>
    </row>
    <row r="68" customFormat="false" ht="15" hidden="false" customHeight="false" outlineLevel="0" collapsed="false">
      <c r="C68" s="115"/>
    </row>
    <row r="69" customFormat="false" ht="15" hidden="false" customHeight="false" outlineLevel="0" collapsed="false">
      <c r="A69" s="73" t="s">
        <v>346</v>
      </c>
      <c r="C69" s="115" t="n">
        <f aca="false">SUM(C63:C67)</f>
        <v>91185505.4857437</v>
      </c>
      <c r="D69" s="73" t="s">
        <v>321</v>
      </c>
    </row>
    <row r="70" customFormat="false" ht="15" hidden="false" customHeight="false" outlineLevel="0" collapsed="false">
      <c r="A70" s="73" t="s">
        <v>347</v>
      </c>
      <c r="C70" s="115" t="n">
        <f aca="false">C60+C69</f>
        <v>243161347.961983</v>
      </c>
      <c r="D70" s="73" t="s">
        <v>321</v>
      </c>
    </row>
    <row r="72" customFormat="false" ht="15" hidden="false" customHeight="false" outlineLevel="0" collapsed="false">
      <c r="A72" s="0" t="s">
        <v>12</v>
      </c>
      <c r="C72" s="115" t="n">
        <f aca="false">1800000/4</f>
        <v>450000</v>
      </c>
      <c r="D72" s="0" t="s">
        <v>348</v>
      </c>
    </row>
    <row r="73" customFormat="false" ht="15" hidden="false" customHeight="false" outlineLevel="0" collapsed="false">
      <c r="A73" s="0" t="s">
        <v>349</v>
      </c>
      <c r="C73" s="115" t="n">
        <f aca="false">D73/100*C70</f>
        <v>12158067.3980992</v>
      </c>
      <c r="D73" s="0" t="n">
        <v>5</v>
      </c>
      <c r="E73" s="0" t="s">
        <v>350</v>
      </c>
      <c r="P73" s="116"/>
    </row>
    <row r="74" customFormat="false" ht="15" hidden="false" customHeight="false" outlineLevel="0" collapsed="false">
      <c r="P74" s="116"/>
    </row>
    <row r="75" customFormat="false" ht="15" hidden="false" customHeight="false" outlineLevel="0" collapsed="false">
      <c r="A75" s="107" t="s">
        <v>351</v>
      </c>
      <c r="C75" s="117" t="n">
        <f aca="false">C70+C72+C73</f>
        <v>255769415.360082</v>
      </c>
      <c r="D75" s="118" t="s">
        <v>352</v>
      </c>
      <c r="P75" s="116"/>
    </row>
    <row r="76" customFormat="false" ht="15" hidden="false" customHeight="false" outlineLevel="0" collapsed="false">
      <c r="A76" s="107" t="s">
        <v>353</v>
      </c>
      <c r="C76" s="117" t="n">
        <f aca="false">B42+B48</f>
        <v>0</v>
      </c>
      <c r="D76" s="118" t="s">
        <v>354</v>
      </c>
      <c r="E76" s="0" t="s">
        <v>355</v>
      </c>
      <c r="P76" s="116"/>
    </row>
    <row r="77" customFormat="false" ht="15" hidden="false" customHeight="false" outlineLevel="0" collapsed="false">
      <c r="P77" s="116"/>
    </row>
    <row r="78" customFormat="false" ht="15" hidden="false" customHeight="false" outlineLevel="0" collapsed="false">
      <c r="A78" s="107" t="s">
        <v>356</v>
      </c>
      <c r="C78" s="117" t="n">
        <f aca="false">B43</f>
        <v>1224698.73430633</v>
      </c>
      <c r="D78" s="118" t="s">
        <v>326</v>
      </c>
      <c r="P78" s="116"/>
    </row>
    <row r="79" customFormat="false" ht="15" hidden="false" customHeight="false" outlineLevel="0" collapsed="false">
      <c r="A79" s="107" t="s">
        <v>357</v>
      </c>
      <c r="C79" s="117" t="n">
        <f aca="false">B44+B50</f>
        <v>0</v>
      </c>
      <c r="D79" s="118" t="s">
        <v>326</v>
      </c>
    </row>
    <row r="80" s="13" customFormat="true" ht="15" hidden="false" customHeight="false" outlineLevel="0" collapsed="false"/>
    <row r="81" customFormat="false" ht="15" hidden="false" customHeight="false" outlineLevel="0" collapsed="false">
      <c r="A81" s="107" t="s">
        <v>358</v>
      </c>
    </row>
    <row r="82" customFormat="false" ht="15" hidden="false" customHeight="false" outlineLevel="0" collapsed="false">
      <c r="A82" s="14" t="s">
        <v>359</v>
      </c>
      <c r="B82" s="16"/>
      <c r="C82" s="16"/>
      <c r="D82" s="16"/>
      <c r="E82" s="16"/>
      <c r="F82" s="16"/>
      <c r="G82" s="16"/>
      <c r="H82" s="16"/>
      <c r="I82" s="16"/>
      <c r="J82" s="16"/>
    </row>
    <row r="83" customFormat="false" ht="15" hidden="false" customHeight="false" outlineLevel="0" collapsed="false">
      <c r="A83" s="0" t="s">
        <v>360</v>
      </c>
      <c r="B83" s="0" t="s">
        <v>361</v>
      </c>
      <c r="C83" s="0" t="s">
        <v>362</v>
      </c>
      <c r="D83" s="0" t="s">
        <v>363</v>
      </c>
      <c r="E83" s="0" t="s">
        <v>19</v>
      </c>
    </row>
    <row r="84" customFormat="false" ht="15" hidden="false" customHeight="false" outlineLevel="0" collapsed="false">
      <c r="A84" s="0" t="s">
        <v>364</v>
      </c>
      <c r="B84" s="0" t="n">
        <v>50743</v>
      </c>
      <c r="C84" s="0" t="n">
        <v>1</v>
      </c>
      <c r="D84" s="116" t="n">
        <f aca="false">B84*C84</f>
        <v>50743</v>
      </c>
      <c r="E84" s="0" t="s">
        <v>365</v>
      </c>
      <c r="F84" s="115"/>
    </row>
    <row r="85" customFormat="false" ht="15" hidden="false" customHeight="false" outlineLevel="0" collapsed="false">
      <c r="A85" s="119" t="s">
        <v>366</v>
      </c>
      <c r="B85" s="119" t="n">
        <v>42286</v>
      </c>
      <c r="C85" s="119" t="n">
        <v>4</v>
      </c>
      <c r="D85" s="120" t="n">
        <f aca="false">B85*C85</f>
        <v>169144</v>
      </c>
      <c r="F85" s="115"/>
    </row>
    <row r="86" customFormat="false" ht="15" hidden="false" customHeight="false" outlineLevel="0" collapsed="false">
      <c r="A86" s="0" t="s">
        <v>367</v>
      </c>
      <c r="D86" s="116" t="n">
        <f aca="false">SUM(D84:D85)</f>
        <v>219887</v>
      </c>
    </row>
    <row r="87" customFormat="false" ht="15" hidden="false" customHeight="false" outlineLevel="0" collapsed="false">
      <c r="A87" s="121" t="s">
        <v>368</v>
      </c>
      <c r="B87" s="121"/>
      <c r="C87" s="121"/>
      <c r="D87" s="122" t="n">
        <f aca="false">0.9*D86</f>
        <v>197898.3</v>
      </c>
    </row>
    <row r="89" customFormat="false" ht="15" hidden="false" customHeight="false" outlineLevel="0" collapsed="false">
      <c r="A89" s="0" t="s">
        <v>369</v>
      </c>
      <c r="B89" s="0" t="n">
        <v>3</v>
      </c>
      <c r="C89" s="0" t="s">
        <v>370</v>
      </c>
      <c r="D89" s="116" t="n">
        <f aca="false">B89/100*B47</f>
        <v>135000</v>
      </c>
    </row>
    <row r="90" customFormat="false" ht="15" hidden="false" customHeight="false" outlineLevel="0" collapsed="false">
      <c r="A90" s="0" t="s">
        <v>371</v>
      </c>
      <c r="B90" s="0" t="n">
        <v>0.7</v>
      </c>
      <c r="C90" s="0" t="s">
        <v>350</v>
      </c>
      <c r="D90" s="116" t="n">
        <f aca="false">B90/100*C70</f>
        <v>1702129.43573388</v>
      </c>
    </row>
    <row r="91" customFormat="false" ht="15" hidden="false" customHeight="false" outlineLevel="0" collapsed="false">
      <c r="D91" s="116"/>
    </row>
    <row r="92" customFormat="false" ht="15" hidden="false" customHeight="false" outlineLevel="0" collapsed="false">
      <c r="A92" s="107" t="s">
        <v>372</v>
      </c>
      <c r="D92" s="115" t="n">
        <f aca="false">SUM(D86:D90)</f>
        <v>2254914.73573388</v>
      </c>
      <c r="E92" s="118" t="s">
        <v>354</v>
      </c>
    </row>
    <row r="93" customFormat="false" ht="15" hidden="false" customHeight="false" outlineLevel="0" collapsed="false">
      <c r="D93" s="116"/>
    </row>
    <row r="94" s="13" customFormat="true" ht="15" hidden="false" customHeight="false" outlineLevel="0" collapsed="false"/>
    <row r="95" s="112" customFormat="true" ht="15" hidden="false" customHeight="false" outlineLevel="0" collapsed="false">
      <c r="A95" s="107" t="s">
        <v>373</v>
      </c>
    </row>
    <row r="97" customFormat="false" ht="15" hidden="false" customHeight="false" outlineLevel="0" collapsed="false">
      <c r="A97" s="14" t="s">
        <v>374</v>
      </c>
      <c r="B97" s="16"/>
      <c r="C97" s="16"/>
      <c r="D97" s="16"/>
      <c r="E97" s="16"/>
      <c r="F97" s="16"/>
      <c r="G97" s="16"/>
      <c r="H97" s="16"/>
      <c r="I97" s="16"/>
      <c r="J97" s="16"/>
    </row>
    <row r="98" customFormat="false" ht="15" hidden="false" customHeight="false" outlineLevel="0" collapsed="false">
      <c r="A98" s="0" t="s">
        <v>351</v>
      </c>
      <c r="D98" s="115" t="n">
        <v>459800000</v>
      </c>
    </row>
    <row r="99" customFormat="false" ht="15" hidden="false" customHeight="false" outlineLevel="0" collapsed="false">
      <c r="A99" s="0" t="s">
        <v>375</v>
      </c>
      <c r="D99" s="115" t="n">
        <v>14500000</v>
      </c>
    </row>
    <row r="100" customFormat="false" ht="15" hidden="false" customHeight="false" outlineLevel="0" collapsed="false">
      <c r="A100" s="0" t="s">
        <v>376</v>
      </c>
      <c r="D100" s="115" t="n">
        <v>8300000</v>
      </c>
    </row>
    <row r="101" customFormat="false" ht="15" hidden="false" customHeight="false" outlineLevel="0" collapsed="false">
      <c r="A101" s="0" t="s">
        <v>377</v>
      </c>
      <c r="D101" s="115" t="n">
        <v>39300000</v>
      </c>
    </row>
    <row r="103" customFormat="false" ht="15" hidden="false" customHeight="false" outlineLevel="0" collapsed="false">
      <c r="A103" s="0" t="s">
        <v>378</v>
      </c>
      <c r="D103" s="0" t="n">
        <f aca="false">(D99+D100+D101)/D98</f>
        <v>0.135058721183123</v>
      </c>
    </row>
    <row r="105" customFormat="false" ht="15" hidden="false" customHeight="false" outlineLevel="0" collapsed="false">
      <c r="A105" s="14" t="s">
        <v>379</v>
      </c>
      <c r="B105" s="123"/>
      <c r="C105" s="123"/>
      <c r="D105" s="123"/>
      <c r="E105" s="123"/>
      <c r="F105" s="123"/>
      <c r="G105" s="123"/>
      <c r="H105" s="123"/>
      <c r="I105" s="123"/>
      <c r="J105" s="123"/>
    </row>
    <row r="106" customFormat="false" ht="15" hidden="false" customHeight="false" outlineLevel="0" collapsed="false">
      <c r="A106" s="0" t="s">
        <v>351</v>
      </c>
      <c r="D106" s="115" t="n">
        <f aca="false">C75</f>
        <v>255769415.360082</v>
      </c>
    </row>
    <row r="107" customFormat="false" ht="15" hidden="false" customHeight="false" outlineLevel="0" collapsed="false">
      <c r="A107" s="0" t="s">
        <v>375</v>
      </c>
      <c r="D107" s="115" t="n">
        <f aca="false">ROUND(C70/30,-4)</f>
        <v>8110000</v>
      </c>
    </row>
    <row r="108" customFormat="false" ht="15" hidden="false" customHeight="false" outlineLevel="0" collapsed="false">
      <c r="A108" s="0" t="s">
        <v>380</v>
      </c>
      <c r="D108" s="115" t="n">
        <f aca="false">D103*D106-D107</f>
        <v>26433890.1562878</v>
      </c>
    </row>
  </sheetData>
  <hyperlinks>
    <hyperlink ref="A2" r:id="rId1" display="http://www.nrel.gov/docs/fy14osti/62368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:U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2" activeCellId="1" sqref="M57:AC68 B62"/>
    </sheetView>
  </sheetViews>
  <sheetFormatPr defaultRowHeight="15"/>
  <cols>
    <col collapsed="false" hidden="false" max="1" min="1" style="0" width="51.7040816326531"/>
    <col collapsed="false" hidden="false" max="2" min="2" style="0" width="22.6785714285714"/>
    <col collapsed="false" hidden="false" max="3" min="3" style="0" width="13.6326530612245"/>
    <col collapsed="false" hidden="false" max="4" min="4" style="0" width="29.8316326530612"/>
    <col collapsed="false" hidden="false" max="5" min="5" style="0" width="18.4948979591837"/>
    <col collapsed="false" hidden="false" max="6" min="6" style="0" width="12.5561224489796"/>
    <col collapsed="false" hidden="false" max="7" min="7" style="0" width="11.2040816326531"/>
    <col collapsed="false" hidden="false" max="8" min="8" style="0" width="11.0714285714286"/>
    <col collapsed="false" hidden="false" max="9" min="9" style="0" width="10.6632653061225"/>
    <col collapsed="false" hidden="false" max="10" min="10" style="0" width="10.9336734693878"/>
    <col collapsed="false" hidden="false" max="11" min="11" style="0" width="11.0714285714286"/>
    <col collapsed="false" hidden="false" max="34" min="12" style="0" width="10.6632653061225"/>
    <col collapsed="false" hidden="false" max="1025" min="35" style="0" width="8.63775510204082"/>
  </cols>
  <sheetData>
    <row r="1" customFormat="false" ht="27" hidden="false" customHeight="true" outlineLevel="0" collapsed="false">
      <c r="A1" s="8" t="s">
        <v>381</v>
      </c>
    </row>
    <row r="2" customFormat="false" ht="15" hidden="false" customHeight="false" outlineLevel="0" collapsed="false">
      <c r="A2" s="0" t="s">
        <v>382</v>
      </c>
      <c r="G2" s="9"/>
    </row>
    <row r="5" customFormat="false" ht="15" hidden="false" customHeight="false" outlineLevel="0" collapsed="false">
      <c r="A5" s="0" t="s">
        <v>383</v>
      </c>
    </row>
    <row r="6" customFormat="false" ht="15" hidden="false" customHeight="false" outlineLevel="0" collapsed="false">
      <c r="A6" s="0" t="s">
        <v>384</v>
      </c>
    </row>
    <row r="7" customFormat="false" ht="15" hidden="false" customHeight="false" outlineLevel="0" collapsed="false">
      <c r="A7" s="11" t="s">
        <v>111</v>
      </c>
      <c r="B7" s="12" t="s">
        <v>385</v>
      </c>
    </row>
    <row r="8" customFormat="false" ht="15" hidden="false" customHeight="false" outlineLevel="0" collapsed="false">
      <c r="A8" s="0" t="s">
        <v>15</v>
      </c>
      <c r="B8" s="0" t="s">
        <v>386</v>
      </c>
    </row>
    <row r="9" s="13" customFormat="true" ht="15" hidden="false" customHeight="false" outlineLevel="0" collapsed="false"/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1" customFormat="false" ht="15" hidden="false" customHeight="false" outlineLevel="0" collapsed="false">
      <c r="B11" s="60" t="s">
        <v>114</v>
      </c>
      <c r="C11" s="1" t="s">
        <v>387</v>
      </c>
      <c r="D11" s="60" t="s">
        <v>114</v>
      </c>
      <c r="E11" s="1" t="s">
        <v>388</v>
      </c>
      <c r="H11" s="1"/>
    </row>
    <row r="12" customFormat="false" ht="15" hidden="false" customHeight="false" outlineLevel="0" collapsed="false">
      <c r="A12" s="0" t="s">
        <v>283</v>
      </c>
      <c r="B12" s="20" t="s">
        <v>389</v>
      </c>
      <c r="C12" s="124" t="n">
        <f aca="false">B35*1000/(B36*1000)</f>
        <v>1.31147540983607</v>
      </c>
      <c r="D12" s="20" t="s">
        <v>389</v>
      </c>
      <c r="E12" s="125" t="n">
        <f aca="false">B35*1000/B38</f>
        <v>113.798008534851</v>
      </c>
      <c r="F12" s="0" t="s">
        <v>285</v>
      </c>
      <c r="H12" s="1"/>
    </row>
    <row r="13" customFormat="false" ht="15" hidden="false" customHeight="false" outlineLevel="0" collapsed="false">
      <c r="A13" s="0" t="s">
        <v>286</v>
      </c>
      <c r="B13" s="20" t="s">
        <v>390</v>
      </c>
      <c r="C13" s="126" t="n">
        <f aca="false">B117/B36/1000</f>
        <v>0.00329068667467297</v>
      </c>
      <c r="D13" s="20" t="s">
        <v>390</v>
      </c>
      <c r="E13" s="29" t="n">
        <f aca="false">B117/B38</f>
        <v>0.28553611259609</v>
      </c>
      <c r="F13" s="0" t="s">
        <v>285</v>
      </c>
      <c r="H13" s="1"/>
    </row>
    <row r="14" customFormat="false" ht="15" hidden="false" customHeight="false" outlineLevel="0" collapsed="false">
      <c r="A14" s="0" t="s">
        <v>290</v>
      </c>
      <c r="B14" s="20" t="s">
        <v>391</v>
      </c>
      <c r="C14" s="126" t="n">
        <f aca="false">B118/B36/1000</f>
        <v>0.000154978122289763</v>
      </c>
      <c r="D14" s="20" t="s">
        <v>391</v>
      </c>
      <c r="E14" s="29" t="n">
        <f aca="false">B118/B38</f>
        <v>0.0134476037833222</v>
      </c>
      <c r="F14" s="0" t="s">
        <v>285</v>
      </c>
      <c r="H14" s="127"/>
    </row>
    <row r="15" customFormat="false" ht="15" hidden="false" customHeight="false" outlineLevel="0" collapsed="false">
      <c r="A15" s="0" t="s">
        <v>392</v>
      </c>
      <c r="B15" s="20" t="s">
        <v>393</v>
      </c>
      <c r="C15" s="128" t="n">
        <f aca="false">B38/(B36*1000)</f>
        <v>0.0115245901639344</v>
      </c>
      <c r="D15" s="20" t="s">
        <v>394</v>
      </c>
      <c r="E15" s="21" t="n">
        <f aca="false">B36/B38</f>
        <v>0.0867709815078236</v>
      </c>
      <c r="F15" s="0" t="s">
        <v>395</v>
      </c>
      <c r="I15" s="95"/>
      <c r="J15" s="95"/>
      <c r="K15" s="95"/>
      <c r="L15" s="95"/>
    </row>
    <row r="16" customFormat="false" ht="15" hidden="false" customHeight="false" outlineLevel="0" collapsed="false">
      <c r="A16" s="16" t="s">
        <v>396</v>
      </c>
      <c r="B16" s="20" t="s">
        <v>397</v>
      </c>
      <c r="C16" s="129" t="n">
        <f aca="false">SUM(C17:C20)</f>
        <v>0.0540950841692515</v>
      </c>
      <c r="D16" s="20" t="s">
        <v>397</v>
      </c>
      <c r="E16" s="130" t="n">
        <f aca="false">SUM(E17:E20)</f>
        <v>4.69388354811428</v>
      </c>
      <c r="F16" s="16" t="s">
        <v>294</v>
      </c>
      <c r="G16" s="16"/>
    </row>
    <row r="17" customFormat="false" ht="15" hidden="false" customHeight="false" outlineLevel="0" collapsed="false">
      <c r="A17" s="0" t="s">
        <v>295</v>
      </c>
      <c r="C17" s="131" t="n">
        <f aca="false">B116/B26/B36/1000</f>
        <v>0.00561282217514739</v>
      </c>
      <c r="E17" s="132" t="n">
        <f aca="false">B116/B26/B38</f>
        <v>0.487030089166416</v>
      </c>
      <c r="G17" s="0" t="s">
        <v>296</v>
      </c>
    </row>
    <row r="18" customFormat="false" ht="15" hidden="false" customHeight="false" outlineLevel="0" collapsed="false">
      <c r="A18" s="0" t="s">
        <v>297</v>
      </c>
      <c r="C18" s="131" t="n">
        <f aca="false">B141/B26/B36/1000</f>
        <v>0.00481328265441884</v>
      </c>
      <c r="E18" s="132" t="n">
        <f aca="false">B141/B26/B38</f>
        <v>0.417653260198505</v>
      </c>
    </row>
    <row r="19" customFormat="false" ht="15" hidden="false" customHeight="false" outlineLevel="0" collapsed="false">
      <c r="A19" s="0" t="s">
        <v>298</v>
      </c>
      <c r="C19" s="131" t="n">
        <f aca="false">B155/B26/B36/1000</f>
        <v>0.0102625683977584</v>
      </c>
      <c r="E19" s="132" t="n">
        <f aca="false">B155/B26/B38</f>
        <v>0.890493132664665</v>
      </c>
      <c r="H19" s="106"/>
    </row>
    <row r="20" customFormat="false" ht="15" hidden="false" customHeight="false" outlineLevel="0" collapsed="false">
      <c r="A20" s="0" t="s">
        <v>299</v>
      </c>
      <c r="C20" s="131" t="n">
        <f aca="false">B156/B26/B36/1000</f>
        <v>0.0334064109419269</v>
      </c>
      <c r="E20" s="132" t="n">
        <f aca="false">B156/B26/B38</f>
        <v>2.8987070660847</v>
      </c>
    </row>
    <row r="21" customFormat="false" ht="15" hidden="false" customHeight="false" outlineLevel="0" collapsed="false">
      <c r="D21" s="106"/>
    </row>
    <row r="23" s="13" customFormat="true" ht="15" hidden="false" customHeight="false" outlineLevel="0" collapsed="false">
      <c r="I23" s="133"/>
    </row>
    <row r="24" customFormat="false" ht="15" hidden="false" customHeight="false" outlineLevel="0" collapsed="false">
      <c r="A24" s="107" t="s">
        <v>300</v>
      </c>
      <c r="I24" s="109"/>
    </row>
    <row r="25" customFormat="false" ht="15" hidden="false" customHeight="false" outlineLevel="0" collapsed="false">
      <c r="A25" s="107"/>
      <c r="I25" s="109"/>
    </row>
    <row r="26" customFormat="false" ht="15" hidden="false" customHeight="false" outlineLevel="0" collapsed="false">
      <c r="A26" s="73" t="s">
        <v>301</v>
      </c>
      <c r="B26" s="109" t="n">
        <v>3.29427384524826</v>
      </c>
      <c r="I26" s="109"/>
    </row>
    <row r="27" customFormat="false" ht="15" hidden="false" customHeight="false" outlineLevel="0" collapsed="false">
      <c r="I27" s="109"/>
    </row>
    <row r="28" customFormat="false" ht="15" hidden="false" customHeight="false" outlineLevel="0" collapsed="false">
      <c r="A28" s="0" t="s">
        <v>302</v>
      </c>
      <c r="B28" s="134" t="n">
        <f aca="false">8506/E34</f>
        <v>9376.25732347867</v>
      </c>
      <c r="C28" s="0" t="s">
        <v>398</v>
      </c>
      <c r="D28" s="0" t="s">
        <v>399</v>
      </c>
      <c r="I28" s="109"/>
    </row>
    <row r="29" customFormat="false" ht="15" hidden="false" customHeight="false" outlineLevel="0" collapsed="false">
      <c r="A29" s="0" t="s">
        <v>305</v>
      </c>
      <c r="B29" s="0" t="n">
        <v>0.9</v>
      </c>
      <c r="C29" s="0" t="s">
        <v>306</v>
      </c>
      <c r="I29" s="109"/>
    </row>
    <row r="30" customFormat="false" ht="15" hidden="false" customHeight="false" outlineLevel="0" collapsed="false">
      <c r="A30" s="0" t="s">
        <v>307</v>
      </c>
      <c r="B30" s="135" t="n">
        <f aca="false">B28*1000/24/B29</f>
        <v>434085.987198087</v>
      </c>
      <c r="C30" s="0" t="s">
        <v>308</v>
      </c>
      <c r="I30" s="109"/>
    </row>
    <row r="31" customFormat="false" ht="15" hidden="false" customHeight="false" outlineLevel="0" collapsed="false">
      <c r="A31" s="0" t="s">
        <v>400</v>
      </c>
      <c r="B31" s="136" t="n">
        <v>0.25</v>
      </c>
      <c r="C31" s="0" t="s">
        <v>306</v>
      </c>
      <c r="D31" s="0" t="s">
        <v>401</v>
      </c>
      <c r="I31" s="109"/>
    </row>
    <row r="32" customFormat="false" ht="15" hidden="false" customHeight="false" outlineLevel="0" collapsed="false">
      <c r="A32" s="0" t="s">
        <v>402</v>
      </c>
      <c r="B32" s="136" t="n">
        <v>0.95</v>
      </c>
      <c r="C32" s="0" t="s">
        <v>306</v>
      </c>
      <c r="D32" s="0" t="s">
        <v>401</v>
      </c>
      <c r="I32" s="109"/>
    </row>
    <row r="33" customFormat="false" ht="15" hidden="false" customHeight="false" outlineLevel="0" collapsed="false">
      <c r="A33" s="0" t="s">
        <v>403</v>
      </c>
      <c r="B33" s="0" t="n">
        <v>37</v>
      </c>
      <c r="C33" s="0" t="s">
        <v>404</v>
      </c>
      <c r="D33" s="0" t="s">
        <v>405</v>
      </c>
      <c r="I33" s="109"/>
    </row>
    <row r="34" customFormat="false" ht="15" hidden="false" customHeight="false" outlineLevel="0" collapsed="false">
      <c r="A34" s="0" t="s">
        <v>312</v>
      </c>
      <c r="B34" s="134" t="n">
        <f aca="false">B28</f>
        <v>9376.25732347867</v>
      </c>
      <c r="C34" s="0" t="s">
        <v>406</v>
      </c>
      <c r="D34" s="0" t="s">
        <v>407</v>
      </c>
      <c r="E34" s="0" t="n">
        <v>0.907185</v>
      </c>
      <c r="F34" s="0" t="s">
        <v>408</v>
      </c>
      <c r="I34" s="109"/>
    </row>
    <row r="35" customFormat="false" ht="15" hidden="false" customHeight="false" outlineLevel="0" collapsed="false">
      <c r="A35" s="0" t="s">
        <v>409</v>
      </c>
      <c r="B35" s="135" t="n">
        <f aca="false">B28*365*B29</f>
        <v>3080100.53076274</v>
      </c>
      <c r="C35" s="0" t="s">
        <v>410</v>
      </c>
      <c r="I35" s="109"/>
    </row>
    <row r="36" customFormat="false" ht="15" hidden="false" customHeight="false" outlineLevel="0" collapsed="false">
      <c r="A36" s="0" t="s">
        <v>411</v>
      </c>
      <c r="B36" s="135" t="n">
        <f aca="false">B28*365*B29*(1-B31*B32)</f>
        <v>2348576.65470659</v>
      </c>
      <c r="C36" s="0" t="s">
        <v>410</v>
      </c>
      <c r="I36" s="109"/>
    </row>
    <row r="37" customFormat="false" ht="15" hidden="false" customHeight="false" outlineLevel="0" collapsed="false">
      <c r="A37" s="0" t="s">
        <v>412</v>
      </c>
      <c r="B37" s="135" t="n">
        <f aca="false">B28*365*B29*B31*B32</f>
        <v>731523.876056152</v>
      </c>
      <c r="C37" s="0" t="s">
        <v>410</v>
      </c>
      <c r="I37" s="109"/>
    </row>
    <row r="38" customFormat="false" ht="15" hidden="false" customHeight="false" outlineLevel="0" collapsed="false">
      <c r="A38" s="0" t="s">
        <v>413</v>
      </c>
      <c r="B38" s="135" t="n">
        <f aca="false">B37*B33</f>
        <v>27066383.4140776</v>
      </c>
      <c r="C38" s="0" t="s">
        <v>326</v>
      </c>
      <c r="I38" s="109"/>
    </row>
    <row r="39" customFormat="false" ht="15" hidden="false" customHeight="false" outlineLevel="0" collapsed="false">
      <c r="A39" s="0" t="s">
        <v>414</v>
      </c>
      <c r="B39" s="135" t="n">
        <v>3650000</v>
      </c>
      <c r="C39" s="0" t="s">
        <v>415</v>
      </c>
      <c r="I39" s="109"/>
    </row>
    <row r="40" customFormat="false" ht="15" hidden="false" customHeight="false" outlineLevel="0" collapsed="false">
      <c r="C40" s="63"/>
    </row>
    <row r="41" s="13" customFormat="true" ht="15" hidden="false" customHeight="false" outlineLevel="0" collapsed="false">
      <c r="L41" s="110"/>
      <c r="O41" s="34"/>
    </row>
    <row r="42" s="112" customFormat="true" ht="15" hidden="false" customHeight="false" outlineLevel="0" collapsed="false">
      <c r="A42" s="111" t="s">
        <v>315</v>
      </c>
      <c r="L42" s="113"/>
      <c r="O42" s="114"/>
    </row>
    <row r="43" s="112" customFormat="true" ht="15" hidden="false" customHeight="false" outlineLevel="0" collapsed="false">
      <c r="A43" s="0"/>
      <c r="L43" s="113"/>
      <c r="O43" s="114"/>
    </row>
    <row r="44" customFormat="false" ht="15" hidden="false" customHeight="false" outlineLevel="0" collapsed="false">
      <c r="A44" s="14" t="s">
        <v>416</v>
      </c>
      <c r="B44" s="14"/>
      <c r="C44" s="14"/>
      <c r="D44" s="14"/>
      <c r="E44" s="16"/>
      <c r="F44" s="16"/>
      <c r="G44" s="16"/>
      <c r="H44" s="16"/>
      <c r="I44" s="16"/>
      <c r="J44" s="16"/>
      <c r="L44" s="39"/>
    </row>
    <row r="45" customFormat="false" ht="15" hidden="false" customHeight="false" outlineLevel="0" collapsed="false">
      <c r="A45" s="73"/>
      <c r="J45" s="61"/>
      <c r="L45" s="39"/>
    </row>
    <row r="46" customFormat="false" ht="15" hidden="false" customHeight="false" outlineLevel="0" collapsed="false">
      <c r="A46" s="0" t="s">
        <v>417</v>
      </c>
      <c r="B46" s="137" t="n">
        <f aca="false">839*10^6</f>
        <v>839000000</v>
      </c>
      <c r="C46" s="0" t="s">
        <v>321</v>
      </c>
      <c r="D46" s="0" t="s">
        <v>418</v>
      </c>
      <c r="F46" s="61"/>
      <c r="G46" s="61"/>
      <c r="H46" s="61"/>
      <c r="I46" s="61"/>
      <c r="J46" s="61"/>
      <c r="L46" s="39"/>
    </row>
    <row r="47" customFormat="false" ht="15" hidden="false" customHeight="false" outlineLevel="0" collapsed="false">
      <c r="E47" s="61"/>
      <c r="F47" s="61"/>
      <c r="G47" s="61"/>
      <c r="H47" s="61"/>
      <c r="I47" s="61"/>
    </row>
    <row r="48" customFormat="false" ht="15" hidden="false" customHeight="false" outlineLevel="0" collapsed="false">
      <c r="A48" s="0" t="s">
        <v>320</v>
      </c>
      <c r="B48" s="115" t="n">
        <f aca="false">B46</f>
        <v>839000000</v>
      </c>
      <c r="C48" s="138" t="s">
        <v>352</v>
      </c>
    </row>
    <row r="49" customFormat="false" ht="15" hidden="false" customHeight="false" outlineLevel="0" collapsed="false">
      <c r="A49" s="0" t="s">
        <v>323</v>
      </c>
      <c r="B49" s="136" t="n">
        <v>0</v>
      </c>
      <c r="C49" s="0" t="s">
        <v>419</v>
      </c>
      <c r="D49" s="0" t="s">
        <v>420</v>
      </c>
    </row>
    <row r="50" customFormat="false" ht="15" hidden="false" customHeight="false" outlineLevel="0" collapsed="false">
      <c r="A50" s="0" t="s">
        <v>325</v>
      </c>
      <c r="B50" s="135" t="n">
        <f aca="false">B59</f>
        <v>7721213.83457101</v>
      </c>
      <c r="C50" s="0" t="s">
        <v>326</v>
      </c>
    </row>
    <row r="51" customFormat="false" ht="15" hidden="false" customHeight="false" outlineLevel="0" collapsed="false">
      <c r="A51" s="0" t="s">
        <v>327</v>
      </c>
      <c r="B51" s="136" t="n">
        <v>0</v>
      </c>
      <c r="C51" s="0" t="s">
        <v>326</v>
      </c>
      <c r="D51" s="0" t="s">
        <v>421</v>
      </c>
    </row>
    <row r="53" customFormat="false" ht="15" hidden="false" customHeight="false" outlineLevel="0" collapsed="false">
      <c r="A53" s="73" t="s">
        <v>422</v>
      </c>
    </row>
    <row r="54" customFormat="false" ht="15" hidden="false" customHeight="false" outlineLevel="0" collapsed="false">
      <c r="A54" s="0" t="s">
        <v>423</v>
      </c>
      <c r="B54" s="139" t="n">
        <v>0.85</v>
      </c>
      <c r="I54" s="61"/>
      <c r="J54" s="61"/>
      <c r="K54" s="61"/>
      <c r="L54" s="61"/>
    </row>
    <row r="55" customFormat="false" ht="15" hidden="false" customHeight="false" outlineLevel="0" collapsed="false">
      <c r="A55" s="0" t="s">
        <v>424</v>
      </c>
      <c r="B55" s="140" t="n">
        <v>0.8</v>
      </c>
      <c r="I55" s="61"/>
      <c r="J55" s="61"/>
      <c r="K55" s="61"/>
      <c r="L55" s="61"/>
    </row>
    <row r="56" customFormat="false" ht="15" hidden="false" customHeight="false" outlineLevel="0" collapsed="false">
      <c r="A56" s="0" t="s">
        <v>425</v>
      </c>
      <c r="B56" s="140" t="n">
        <v>0.1</v>
      </c>
      <c r="I56" s="61"/>
      <c r="J56" s="61"/>
      <c r="K56" s="61"/>
      <c r="L56" s="61"/>
    </row>
    <row r="57" customFormat="false" ht="15" hidden="false" customHeight="false" outlineLevel="0" collapsed="false">
      <c r="A57" s="0" t="s">
        <v>426</v>
      </c>
      <c r="B57" s="39" t="n">
        <f aca="false">WED!B53/WED!B35</f>
        <v>3.06843987023277</v>
      </c>
      <c r="C57" s="0" t="s">
        <v>427</v>
      </c>
      <c r="I57" s="61"/>
      <c r="J57" s="61"/>
      <c r="K57" s="61"/>
      <c r="L57" s="61"/>
    </row>
    <row r="58" customFormat="false" ht="15" hidden="false" customHeight="false" outlineLevel="0" collapsed="false">
      <c r="A58" s="0" t="s">
        <v>428</v>
      </c>
      <c r="B58" s="39" t="n">
        <f aca="false">B57*(B54-B56)/(B55-B56)</f>
        <v>3.28761414667797</v>
      </c>
      <c r="C58" s="0" t="s">
        <v>427</v>
      </c>
      <c r="D58" s="0" t="s">
        <v>429</v>
      </c>
    </row>
    <row r="59" customFormat="false" ht="15" hidden="false" customHeight="false" outlineLevel="0" collapsed="false">
      <c r="A59" s="0" t="s">
        <v>430</v>
      </c>
      <c r="B59" s="135" t="n">
        <f aca="false">B58*B36</f>
        <v>7721213.83457101</v>
      </c>
      <c r="C59" s="0" t="s">
        <v>326</v>
      </c>
    </row>
    <row r="61" customFormat="false" ht="15" hidden="false" customHeight="false" outlineLevel="0" collapsed="false">
      <c r="A61" s="14" t="s">
        <v>431</v>
      </c>
      <c r="B61" s="14"/>
      <c r="C61" s="14"/>
      <c r="D61" s="14"/>
      <c r="E61" s="16"/>
      <c r="F61" s="16"/>
      <c r="G61" s="16"/>
      <c r="H61" s="16"/>
      <c r="I61" s="16"/>
      <c r="J61" s="16"/>
    </row>
    <row r="62" customFormat="false" ht="15" hidden="false" customHeight="false" outlineLevel="0" collapsed="false">
      <c r="A62" s="0" t="s">
        <v>320</v>
      </c>
      <c r="B62" s="141" t="n">
        <f aca="false">B71*(B69/B68)^B70</f>
        <v>552311343.208191</v>
      </c>
      <c r="C62" s="138" t="s">
        <v>352</v>
      </c>
      <c r="D62" s="0" t="s">
        <v>432</v>
      </c>
    </row>
    <row r="63" customFormat="false" ht="15" hidden="false" customHeight="false" outlineLevel="0" collapsed="false">
      <c r="A63" s="0" t="s">
        <v>323</v>
      </c>
      <c r="B63" s="142" t="n">
        <f aca="false">(B86+B90)/(10^6)</f>
        <v>43.425589329475</v>
      </c>
      <c r="C63" s="0" t="s">
        <v>419</v>
      </c>
      <c r="D63" s="0" t="s">
        <v>433</v>
      </c>
    </row>
    <row r="64" customFormat="false" ht="15" hidden="false" customHeight="false" outlineLevel="0" collapsed="false">
      <c r="A64" s="0" t="s">
        <v>325</v>
      </c>
      <c r="B64" s="135" t="n">
        <f aca="false">B79</f>
        <v>7216.06752</v>
      </c>
      <c r="C64" s="0" t="s">
        <v>326</v>
      </c>
      <c r="J64" s="1"/>
    </row>
    <row r="65" customFormat="false" ht="15" hidden="false" customHeight="false" outlineLevel="0" collapsed="false">
      <c r="A65" s="0" t="s">
        <v>327</v>
      </c>
      <c r="B65" s="143" t="n">
        <f aca="false">B73*B39</f>
        <v>363978</v>
      </c>
      <c r="C65" s="0" t="s">
        <v>326</v>
      </c>
    </row>
    <row r="66" customFormat="false" ht="15" hidden="false" customHeight="false" outlineLevel="0" collapsed="false">
      <c r="B66" s="37"/>
    </row>
    <row r="67" customFormat="false" ht="15" hidden="false" customHeight="false" outlineLevel="0" collapsed="false">
      <c r="A67" s="73" t="s">
        <v>434</v>
      </c>
    </row>
    <row r="68" customFormat="false" ht="15" hidden="false" customHeight="false" outlineLevel="0" collapsed="false">
      <c r="A68" s="0" t="s">
        <v>435</v>
      </c>
      <c r="B68" s="0" t="n">
        <v>23398</v>
      </c>
      <c r="C68" s="0" t="s">
        <v>308</v>
      </c>
      <c r="D68" s="0" t="s">
        <v>436</v>
      </c>
    </row>
    <row r="69" customFormat="false" ht="15" hidden="false" customHeight="false" outlineLevel="0" collapsed="false">
      <c r="A69" s="0" t="s">
        <v>437</v>
      </c>
      <c r="B69" s="37" t="n">
        <f aca="false">B34/B29*1000/24</f>
        <v>434085.987198087</v>
      </c>
      <c r="C69" s="0" t="s">
        <v>308</v>
      </c>
      <c r="D69" s="0" t="s">
        <v>438</v>
      </c>
    </row>
    <row r="70" customFormat="false" ht="15" hidden="false" customHeight="false" outlineLevel="0" collapsed="false">
      <c r="A70" s="0" t="s">
        <v>439</v>
      </c>
      <c r="B70" s="0" t="n">
        <v>0.7</v>
      </c>
      <c r="C70" s="0" t="s">
        <v>306</v>
      </c>
      <c r="D70" s="0" t="s">
        <v>440</v>
      </c>
    </row>
    <row r="71" customFormat="false" ht="15" hidden="false" customHeight="false" outlineLevel="0" collapsed="false">
      <c r="A71" s="0" t="s">
        <v>441</v>
      </c>
      <c r="B71" s="116" t="n">
        <v>71500000</v>
      </c>
      <c r="C71" s="0" t="s">
        <v>321</v>
      </c>
      <c r="D71" s="0" t="s">
        <v>329</v>
      </c>
    </row>
    <row r="72" customFormat="false" ht="15" hidden="false" customHeight="false" outlineLevel="0" collapsed="false">
      <c r="A72" s="0" t="s">
        <v>442</v>
      </c>
      <c r="B72" s="136" t="n">
        <f aca="false">4.3+23.4</f>
        <v>27.7</v>
      </c>
      <c r="C72" s="0" t="s">
        <v>443</v>
      </c>
      <c r="D72" s="0" t="s">
        <v>444</v>
      </c>
    </row>
    <row r="73" customFormat="false" ht="15" hidden="false" customHeight="false" outlineLevel="0" collapsed="false">
      <c r="A73" s="0" t="s">
        <v>445</v>
      </c>
      <c r="B73" s="28" t="n">
        <f aca="false">B72*3.6/1000</f>
        <v>0.09972</v>
      </c>
      <c r="C73" s="0" t="s">
        <v>446</v>
      </c>
    </row>
    <row r="74" customFormat="false" ht="15" hidden="false" customHeight="false" outlineLevel="0" collapsed="false">
      <c r="B74" s="28"/>
    </row>
    <row r="75" customFormat="false" ht="15" hidden="false" customHeight="false" outlineLevel="0" collapsed="false">
      <c r="B75" s="28"/>
    </row>
    <row r="76" customFormat="false" ht="15" hidden="false" customHeight="false" outlineLevel="0" collapsed="false">
      <c r="A76" s="73" t="s">
        <v>447</v>
      </c>
    </row>
    <row r="77" customFormat="false" ht="15" hidden="false" customHeight="false" outlineLevel="0" collapsed="false">
      <c r="A77" s="0" t="s">
        <v>448</v>
      </c>
      <c r="B77" s="134" t="n">
        <f aca="false">587.7+556.4</f>
        <v>1144.1</v>
      </c>
      <c r="C77" s="0" t="s">
        <v>449</v>
      </c>
      <c r="D77" s="0" t="s">
        <v>450</v>
      </c>
    </row>
    <row r="78" customFormat="false" ht="15" hidden="false" customHeight="false" outlineLevel="0" collapsed="false">
      <c r="A78" s="0" t="s">
        <v>451</v>
      </c>
      <c r="B78" s="37" t="n">
        <f aca="false">B77*B55/1000</f>
        <v>0.91528</v>
      </c>
      <c r="C78" s="0" t="s">
        <v>452</v>
      </c>
    </row>
    <row r="79" customFormat="false" ht="15" hidden="false" customHeight="false" outlineLevel="0" collapsed="false">
      <c r="A79" s="0" t="s">
        <v>451</v>
      </c>
      <c r="B79" s="37" t="n">
        <f aca="false">B78*24*365*B29</f>
        <v>7216.06752</v>
      </c>
      <c r="C79" s="0" t="s">
        <v>326</v>
      </c>
      <c r="D79" s="116" t="n">
        <f aca="false">B79*947817/B56/1000*B55</f>
        <v>54716091.7488307</v>
      </c>
      <c r="E79" s="0" t="s">
        <v>324</v>
      </c>
    </row>
    <row r="81" customFormat="false" ht="15" hidden="false" customHeight="false" outlineLevel="0" collapsed="false">
      <c r="A81" s="73" t="s">
        <v>453</v>
      </c>
    </row>
    <row r="82" customFormat="false" ht="15" hidden="false" customHeight="false" outlineLevel="0" collapsed="false">
      <c r="A82" s="0" t="s">
        <v>454</v>
      </c>
      <c r="B82" s="144" t="n">
        <v>0.0005</v>
      </c>
      <c r="C82" s="0" t="s">
        <v>455</v>
      </c>
      <c r="D82" s="0" t="s">
        <v>456</v>
      </c>
    </row>
    <row r="83" customFormat="false" ht="15" hidden="false" customHeight="false" outlineLevel="0" collapsed="false">
      <c r="A83" s="0" t="s">
        <v>457</v>
      </c>
      <c r="B83" s="145" t="n">
        <f aca="false">B82/0.2</f>
        <v>0.0025</v>
      </c>
      <c r="C83" s="0" t="s">
        <v>458</v>
      </c>
      <c r="D83" s="0" t="s">
        <v>459</v>
      </c>
    </row>
    <row r="84" customFormat="false" ht="15" hidden="false" customHeight="false" outlineLevel="0" collapsed="false">
      <c r="A84" s="0" t="s">
        <v>460</v>
      </c>
      <c r="B84" s="146" t="n">
        <f aca="false">B83*B30*24*365*B29</f>
        <v>8555834.80767429</v>
      </c>
      <c r="C84" s="0" t="s">
        <v>461</v>
      </c>
    </row>
    <row r="85" customFormat="false" ht="15" hidden="false" customHeight="false" outlineLevel="0" collapsed="false">
      <c r="A85" s="5" t="s">
        <v>462</v>
      </c>
      <c r="B85" s="5" t="n">
        <v>0.5394</v>
      </c>
      <c r="C85" s="5" t="s">
        <v>463</v>
      </c>
      <c r="D85" s="5" t="s">
        <v>464</v>
      </c>
    </row>
    <row r="86" customFormat="false" ht="15" hidden="false" customHeight="false" outlineLevel="0" collapsed="false">
      <c r="A86" s="5" t="s">
        <v>465</v>
      </c>
      <c r="B86" s="146" t="n">
        <f aca="false">B84*E86*B85</f>
        <v>10174359.429475</v>
      </c>
      <c r="C86" s="5" t="s">
        <v>324</v>
      </c>
      <c r="D86" s="5" t="s">
        <v>466</v>
      </c>
      <c r="E86" s="0" t="n">
        <v>2.20462</v>
      </c>
    </row>
    <row r="87" customFormat="false" ht="15" hidden="false" customHeight="false" outlineLevel="0" collapsed="false">
      <c r="B87" s="116"/>
    </row>
    <row r="88" customFormat="false" ht="15" hidden="false" customHeight="false" outlineLevel="0" collapsed="false">
      <c r="A88" s="73" t="s">
        <v>467</v>
      </c>
      <c r="B88" s="116"/>
    </row>
    <row r="89" customFormat="false" ht="15" hidden="false" customHeight="false" outlineLevel="0" collapsed="false">
      <c r="A89" s="0" t="s">
        <v>468</v>
      </c>
      <c r="B89" s="147" t="n">
        <v>11.9</v>
      </c>
      <c r="C89" s="0" t="s">
        <v>469</v>
      </c>
      <c r="D89" s="0" t="s">
        <v>418</v>
      </c>
    </row>
    <row r="90" customFormat="false" ht="15" hidden="false" customHeight="false" outlineLevel="0" collapsed="false">
      <c r="A90" s="0" t="s">
        <v>470</v>
      </c>
      <c r="B90" s="116" t="n">
        <f aca="false">B89*B28*E34*365*B29</f>
        <v>33251229.9</v>
      </c>
      <c r="C90" s="0" t="s">
        <v>324</v>
      </c>
    </row>
    <row r="91" customFormat="false" ht="15" hidden="false" customHeight="false" outlineLevel="0" collapsed="false">
      <c r="B91" s="116"/>
    </row>
    <row r="93" s="13" customFormat="true" ht="15" hidden="false" customHeight="false" outlineLevel="0" collapsed="false">
      <c r="L93" s="110"/>
      <c r="O93" s="34"/>
    </row>
    <row r="94" customFormat="false" ht="15" hidden="false" customHeight="false" outlineLevel="0" collapsed="false">
      <c r="A94" s="107" t="s">
        <v>331</v>
      </c>
    </row>
    <row r="96" customFormat="false" ht="15" hidden="false" customHeight="false" outlineLevel="0" collapsed="false">
      <c r="A96" s="0" t="s">
        <v>332</v>
      </c>
      <c r="B96" s="0" t="s">
        <v>333</v>
      </c>
      <c r="C96" s="0" t="s">
        <v>340</v>
      </c>
    </row>
    <row r="97" customFormat="false" ht="15" hidden="false" customHeight="false" outlineLevel="0" collapsed="false">
      <c r="A97" s="0" t="s">
        <v>334</v>
      </c>
      <c r="B97" s="0" t="n">
        <v>4</v>
      </c>
      <c r="C97" s="116" t="n">
        <f aca="false">B97/100*($B$62)</f>
        <v>22092453.7283276</v>
      </c>
    </row>
    <row r="98" customFormat="false" ht="15" hidden="false" customHeight="false" outlineLevel="0" collapsed="false">
      <c r="A98" s="0" t="s">
        <v>335</v>
      </c>
      <c r="B98" s="0" t="n">
        <v>9</v>
      </c>
      <c r="C98" s="116" t="n">
        <f aca="false">B98/100*($B$62)</f>
        <v>49708020.8887372</v>
      </c>
    </row>
    <row r="99" customFormat="false" ht="15" hidden="false" customHeight="false" outlineLevel="0" collapsed="false">
      <c r="A99" s="0" t="s">
        <v>336</v>
      </c>
      <c r="B99" s="0" t="n">
        <v>4.5</v>
      </c>
      <c r="C99" s="116" t="n">
        <f aca="false">B99/100*($B$62)</f>
        <v>24854010.4443686</v>
      </c>
    </row>
    <row r="101" customFormat="false" ht="15" hidden="false" customHeight="false" outlineLevel="0" collapsed="false">
      <c r="A101" s="73" t="s">
        <v>337</v>
      </c>
      <c r="C101" s="115" t="n">
        <f aca="false">B48+B62+C97+C98+C99</f>
        <v>1487965828.26962</v>
      </c>
    </row>
    <row r="103" customFormat="false" ht="15" hidden="false" customHeight="false" outlineLevel="0" collapsed="false">
      <c r="A103" s="0" t="s">
        <v>338</v>
      </c>
      <c r="B103" s="0" t="s">
        <v>339</v>
      </c>
      <c r="C103" s="0" t="s">
        <v>340</v>
      </c>
    </row>
    <row r="104" customFormat="false" ht="15" hidden="false" customHeight="false" outlineLevel="0" collapsed="false">
      <c r="A104" s="0" t="s">
        <v>341</v>
      </c>
      <c r="B104" s="0" t="n">
        <v>10</v>
      </c>
      <c r="C104" s="116" t="n">
        <f aca="false">B104/100*$C$101</f>
        <v>148796582.826962</v>
      </c>
    </row>
    <row r="105" customFormat="false" ht="15" hidden="false" customHeight="false" outlineLevel="0" collapsed="false">
      <c r="A105" s="0" t="s">
        <v>342</v>
      </c>
      <c r="B105" s="0" t="n">
        <v>10</v>
      </c>
      <c r="C105" s="116" t="n">
        <f aca="false">B105/100*$C$101</f>
        <v>148796582.826962</v>
      </c>
    </row>
    <row r="106" customFormat="false" ht="15" hidden="false" customHeight="false" outlineLevel="0" collapsed="false">
      <c r="A106" s="0" t="s">
        <v>343</v>
      </c>
      <c r="B106" s="0" t="n">
        <v>20</v>
      </c>
      <c r="C106" s="116" t="n">
        <f aca="false">B106/100*$C$101</f>
        <v>297593165.653925</v>
      </c>
    </row>
    <row r="107" customFormat="false" ht="15" hidden="false" customHeight="false" outlineLevel="0" collapsed="false">
      <c r="A107" s="0" t="s">
        <v>344</v>
      </c>
      <c r="B107" s="0" t="n">
        <v>10</v>
      </c>
      <c r="C107" s="116" t="n">
        <f aca="false">B107/100*$C$101</f>
        <v>148796582.826962</v>
      </c>
    </row>
    <row r="108" customFormat="false" ht="15" hidden="false" customHeight="false" outlineLevel="0" collapsed="false">
      <c r="A108" s="0" t="s">
        <v>345</v>
      </c>
      <c r="B108" s="0" t="n">
        <v>10</v>
      </c>
      <c r="C108" s="116" t="n">
        <f aca="false">B108/100*$C$101</f>
        <v>148796582.826962</v>
      </c>
    </row>
    <row r="109" customFormat="false" ht="15" hidden="false" customHeight="false" outlineLevel="0" collapsed="false">
      <c r="U109" s="116"/>
    </row>
    <row r="110" customFormat="false" ht="15" hidden="false" customHeight="false" outlineLevel="0" collapsed="false">
      <c r="A110" s="73" t="s">
        <v>346</v>
      </c>
      <c r="C110" s="115" t="n">
        <f aca="false">SUM(C104:C108)</f>
        <v>892779496.961775</v>
      </c>
    </row>
    <row r="111" customFormat="false" ht="15" hidden="false" customHeight="false" outlineLevel="0" collapsed="false">
      <c r="A111" s="73" t="s">
        <v>347</v>
      </c>
      <c r="C111" s="115" t="n">
        <f aca="false">C101+C110</f>
        <v>2380745325.2314</v>
      </c>
    </row>
    <row r="112" customFormat="false" ht="15" hidden="false" customHeight="false" outlineLevel="0" collapsed="false">
      <c r="A112" s="0" t="s">
        <v>12</v>
      </c>
      <c r="C112" s="115" t="n">
        <v>1800000</v>
      </c>
      <c r="D112" s="0" t="s">
        <v>471</v>
      </c>
    </row>
    <row r="113" customFormat="false" ht="15" hidden="false" customHeight="false" outlineLevel="0" collapsed="false">
      <c r="A113" s="0" t="s">
        <v>349</v>
      </c>
      <c r="C113" s="115" t="n">
        <f aca="false">D113/100*C111</f>
        <v>119037266.26157</v>
      </c>
      <c r="D113" s="0" t="n">
        <v>5</v>
      </c>
      <c r="E113" s="0" t="s">
        <v>350</v>
      </c>
    </row>
    <row r="114" customFormat="false" ht="15" hidden="false" customHeight="false" outlineLevel="0" collapsed="false">
      <c r="C114" s="116"/>
    </row>
    <row r="115" customFormat="false" ht="15" hidden="false" customHeight="false" outlineLevel="0" collapsed="false">
      <c r="A115" s="107" t="s">
        <v>351</v>
      </c>
      <c r="B115" s="115" t="n">
        <f aca="false">C111+C112+C113</f>
        <v>2501582591.49297</v>
      </c>
      <c r="C115" s="148" t="s">
        <v>352</v>
      </c>
    </row>
    <row r="116" customFormat="false" ht="15" hidden="false" customHeight="false" outlineLevel="0" collapsed="false">
      <c r="A116" s="107" t="s">
        <v>353</v>
      </c>
      <c r="B116" s="115" t="n">
        <f aca="false">(B49+B63+Q8)*10^6</f>
        <v>43425589.329475</v>
      </c>
      <c r="C116" s="148" t="s">
        <v>354</v>
      </c>
      <c r="D116" s="0" t="s">
        <v>355</v>
      </c>
    </row>
    <row r="117" s="1" customFormat="true" ht="15" hidden="false" customHeight="false" outlineLevel="0" collapsed="false">
      <c r="A117" s="107" t="s">
        <v>356</v>
      </c>
      <c r="B117" s="117" t="n">
        <f aca="false">B50+B64</f>
        <v>7728429.90209101</v>
      </c>
      <c r="C117" s="148" t="s">
        <v>326</v>
      </c>
      <c r="G117" s="73"/>
    </row>
    <row r="118" customFormat="false" ht="15" hidden="false" customHeight="false" outlineLevel="0" collapsed="false">
      <c r="A118" s="107" t="s">
        <v>357</v>
      </c>
      <c r="B118" s="117" t="n">
        <f aca="false">B65</f>
        <v>363978</v>
      </c>
      <c r="C118" s="148" t="s">
        <v>326</v>
      </c>
    </row>
    <row r="119" customFormat="false" ht="15" hidden="false" customHeight="false" outlineLevel="0" collapsed="false">
      <c r="H119" s="116"/>
    </row>
    <row r="120" s="13" customFormat="true" ht="15" hidden="false" customHeight="false" outlineLevel="0" collapsed="false"/>
    <row r="121" customFormat="false" ht="15" hidden="false" customHeight="false" outlineLevel="0" collapsed="false">
      <c r="A121" s="107" t="s">
        <v>358</v>
      </c>
    </row>
    <row r="122" customFormat="false" ht="15" hidden="false" customHeight="false" outlineLevel="0" collapsed="false">
      <c r="A122" s="14" t="s">
        <v>359</v>
      </c>
      <c r="B122" s="16"/>
      <c r="C122" s="16"/>
      <c r="D122" s="16"/>
      <c r="E122" s="16"/>
      <c r="F122" s="16"/>
      <c r="G122" s="16"/>
      <c r="H122" s="16"/>
      <c r="I122" s="16"/>
      <c r="J122" s="16"/>
    </row>
    <row r="123" customFormat="false" ht="15" hidden="false" customHeight="false" outlineLevel="0" collapsed="false">
      <c r="A123" s="0" t="s">
        <v>360</v>
      </c>
      <c r="B123" s="0" t="s">
        <v>361</v>
      </c>
      <c r="C123" s="0" t="s">
        <v>472</v>
      </c>
      <c r="D123" s="0" t="s">
        <v>473</v>
      </c>
      <c r="E123" s="0" t="s">
        <v>474</v>
      </c>
      <c r="F123" s="0" t="s">
        <v>363</v>
      </c>
      <c r="G123" s="0" t="s">
        <v>19</v>
      </c>
    </row>
    <row r="124" customFormat="false" ht="15" hidden="false" customHeight="false" outlineLevel="0" collapsed="false">
      <c r="A124" s="0" t="s">
        <v>475</v>
      </c>
      <c r="B124" s="115" t="n">
        <v>155400</v>
      </c>
      <c r="C124" s="0" t="n">
        <v>1</v>
      </c>
      <c r="D124" s="136" t="n">
        <v>1</v>
      </c>
      <c r="E124" s="0" t="n">
        <f aca="false">C124*D124</f>
        <v>1</v>
      </c>
      <c r="F124" s="115" t="n">
        <f aca="false">E124*B124</f>
        <v>155400</v>
      </c>
    </row>
    <row r="125" customFormat="false" ht="15" hidden="false" customHeight="false" outlineLevel="0" collapsed="false">
      <c r="A125" s="0" t="s">
        <v>476</v>
      </c>
      <c r="B125" s="115" t="n">
        <v>74000</v>
      </c>
      <c r="C125" s="0" t="n">
        <v>2</v>
      </c>
      <c r="D125" s="136" t="n">
        <v>0.5</v>
      </c>
      <c r="E125" s="0" t="n">
        <f aca="false">C125*D125</f>
        <v>1</v>
      </c>
      <c r="F125" s="115" t="n">
        <f aca="false">E125*B125</f>
        <v>74000</v>
      </c>
    </row>
    <row r="126" customFormat="false" ht="15" hidden="false" customHeight="false" outlineLevel="0" collapsed="false">
      <c r="A126" s="0" t="s">
        <v>477</v>
      </c>
      <c r="B126" s="115" t="n">
        <v>60257</v>
      </c>
      <c r="C126" s="0" t="n">
        <v>1</v>
      </c>
      <c r="D126" s="136" t="n">
        <v>1</v>
      </c>
      <c r="E126" s="0" t="n">
        <f aca="false">C126*D126</f>
        <v>1</v>
      </c>
      <c r="F126" s="115" t="n">
        <f aca="false">E126*B126</f>
        <v>60257</v>
      </c>
    </row>
    <row r="127" customFormat="false" ht="15" hidden="false" customHeight="false" outlineLevel="0" collapsed="false">
      <c r="A127" s="0" t="s">
        <v>478</v>
      </c>
      <c r="B127" s="115" t="n">
        <v>42286</v>
      </c>
      <c r="C127" s="0" t="n">
        <v>12</v>
      </c>
      <c r="D127" s="134" t="n">
        <v>1</v>
      </c>
      <c r="E127" s="37" t="n">
        <f aca="false">C127*D127</f>
        <v>12</v>
      </c>
      <c r="F127" s="115" t="n">
        <f aca="false">E127*B127</f>
        <v>507432</v>
      </c>
      <c r="G127" s="0" t="s">
        <v>479</v>
      </c>
    </row>
    <row r="128" customFormat="false" ht="15" hidden="false" customHeight="false" outlineLevel="0" collapsed="false">
      <c r="A128" s="0" t="s">
        <v>480</v>
      </c>
      <c r="B128" s="115" t="n">
        <v>59200</v>
      </c>
      <c r="C128" s="0" t="n">
        <v>1</v>
      </c>
      <c r="D128" s="136" t="n">
        <v>1</v>
      </c>
      <c r="E128" s="0" t="n">
        <f aca="false">C128*D128</f>
        <v>1</v>
      </c>
      <c r="F128" s="115" t="n">
        <f aca="false">E128*B128</f>
        <v>59200</v>
      </c>
      <c r="M128" s="1"/>
      <c r="R128" s="1"/>
    </row>
    <row r="129" customFormat="false" ht="15" hidden="false" customHeight="false" outlineLevel="0" collapsed="false">
      <c r="A129" s="0" t="s">
        <v>481</v>
      </c>
      <c r="B129" s="115" t="n">
        <v>42286</v>
      </c>
      <c r="C129" s="0" t="n">
        <v>4</v>
      </c>
      <c r="D129" s="136" t="n">
        <v>1</v>
      </c>
      <c r="E129" s="0" t="n">
        <f aca="false">C129*D129</f>
        <v>4</v>
      </c>
      <c r="F129" s="115" t="n">
        <f aca="false">E129*B129</f>
        <v>169144</v>
      </c>
      <c r="G129" s="0" t="s">
        <v>482</v>
      </c>
    </row>
    <row r="130" customFormat="false" ht="15" hidden="false" customHeight="false" outlineLevel="0" collapsed="false">
      <c r="A130" s="0" t="s">
        <v>364</v>
      </c>
      <c r="B130" s="115" t="n">
        <v>50743</v>
      </c>
      <c r="C130" s="136" t="n">
        <v>2</v>
      </c>
      <c r="D130" s="136" t="n">
        <v>1</v>
      </c>
      <c r="E130" s="0" t="n">
        <f aca="false">C130*D130</f>
        <v>2</v>
      </c>
      <c r="F130" s="115" t="n">
        <f aca="false">E130*B130</f>
        <v>101486</v>
      </c>
    </row>
    <row r="131" customFormat="false" ht="15" hidden="false" customHeight="false" outlineLevel="0" collapsed="false">
      <c r="A131" s="0" t="s">
        <v>366</v>
      </c>
      <c r="B131" s="115" t="n">
        <v>42286</v>
      </c>
      <c r="C131" s="136" t="n">
        <v>20</v>
      </c>
      <c r="D131" s="136" t="n">
        <v>1</v>
      </c>
      <c r="E131" s="0" t="n">
        <f aca="false">C131*D131</f>
        <v>20</v>
      </c>
      <c r="F131" s="115" t="n">
        <f aca="false">E131*B131</f>
        <v>845720</v>
      </c>
      <c r="G131" s="0" t="s">
        <v>483</v>
      </c>
    </row>
    <row r="132" customFormat="false" ht="15" hidden="false" customHeight="false" outlineLevel="0" collapsed="false">
      <c r="A132" s="0" t="s">
        <v>484</v>
      </c>
      <c r="B132" s="115" t="n">
        <v>29600</v>
      </c>
      <c r="C132" s="0" t="n">
        <v>4</v>
      </c>
      <c r="D132" s="0" t="n">
        <v>0.5</v>
      </c>
      <c r="E132" s="0" t="n">
        <f aca="false">C132*D132</f>
        <v>2</v>
      </c>
      <c r="F132" s="115" t="n">
        <f aca="false">E132*B132</f>
        <v>59200</v>
      </c>
    </row>
    <row r="133" customFormat="false" ht="15" hidden="false" customHeight="false" outlineLevel="0" collapsed="false">
      <c r="A133" s="61" t="s">
        <v>485</v>
      </c>
      <c r="B133" s="66" t="n">
        <v>38057</v>
      </c>
      <c r="C133" s="61" t="n">
        <v>3</v>
      </c>
      <c r="D133" s="149" t="n">
        <v>0.666666667</v>
      </c>
      <c r="E133" s="149" t="n">
        <f aca="false">C133*D133</f>
        <v>2.000000001</v>
      </c>
      <c r="F133" s="66" t="n">
        <f aca="false">E133*B133</f>
        <v>76114.000038057</v>
      </c>
    </row>
    <row r="134" customFormat="false" ht="15" hidden="false" customHeight="false" outlineLevel="0" collapsed="false">
      <c r="A134" s="0" t="s">
        <v>367</v>
      </c>
      <c r="F134" s="115" t="n">
        <f aca="false">SUM(F124:F133)</f>
        <v>2107953.00003806</v>
      </c>
    </row>
    <row r="135" customFormat="false" ht="15" hidden="false" customHeight="false" outlineLevel="0" collapsed="false">
      <c r="A135" s="119" t="s">
        <v>368</v>
      </c>
      <c r="B135" s="119"/>
      <c r="C135" s="119"/>
      <c r="D135" s="119"/>
      <c r="E135" s="119"/>
      <c r="F135" s="150" t="n">
        <f aca="false">0.9*F134</f>
        <v>1897157.70003425</v>
      </c>
      <c r="G135" s="119"/>
      <c r="H135" s="119"/>
      <c r="I135" s="119"/>
      <c r="J135" s="119"/>
    </row>
    <row r="137" customFormat="false" ht="15" hidden="false" customHeight="false" outlineLevel="0" collapsed="false">
      <c r="A137" s="14" t="s">
        <v>486</v>
      </c>
      <c r="B137" s="151"/>
      <c r="C137" s="16"/>
      <c r="D137" s="16"/>
      <c r="E137" s="16"/>
      <c r="F137" s="16"/>
      <c r="G137" s="16"/>
      <c r="H137" s="16"/>
      <c r="I137" s="16"/>
      <c r="J137" s="16"/>
    </row>
    <row r="138" customFormat="false" ht="15" hidden="false" customHeight="false" outlineLevel="0" collapsed="false">
      <c r="A138" s="0" t="s">
        <v>369</v>
      </c>
      <c r="B138" s="152" t="n">
        <f aca="false">D138/100*(B62)</f>
        <v>16569340.2962457</v>
      </c>
      <c r="C138" s="73" t="s">
        <v>354</v>
      </c>
      <c r="D138" s="0" t="n">
        <v>3</v>
      </c>
      <c r="E138" s="0" t="s">
        <v>370</v>
      </c>
    </row>
    <row r="139" customFormat="false" ht="15" hidden="false" customHeight="false" outlineLevel="0" collapsed="false">
      <c r="A139" s="0" t="s">
        <v>371</v>
      </c>
      <c r="B139" s="115" t="n">
        <f aca="false">D139/100*C111</f>
        <v>16665217.2766198</v>
      </c>
      <c r="C139" s="73" t="s">
        <v>354</v>
      </c>
      <c r="D139" s="0" t="n">
        <v>0.7</v>
      </c>
      <c r="E139" s="0" t="s">
        <v>350</v>
      </c>
    </row>
    <row r="140" customFormat="false" ht="15" hidden="false" customHeight="false" outlineLevel="0" collapsed="false">
      <c r="A140" s="1"/>
    </row>
    <row r="141" customFormat="false" ht="15" hidden="false" customHeight="false" outlineLevel="0" collapsed="false">
      <c r="A141" s="107" t="s">
        <v>372</v>
      </c>
      <c r="B141" s="115" t="n">
        <f aca="false">SUM(B138:B139)+SUM(F134:F135)</f>
        <v>37239668.2729378</v>
      </c>
      <c r="C141" s="148" t="s">
        <v>354</v>
      </c>
    </row>
    <row r="143" s="13" customFormat="true" ht="15" hidden="false" customHeight="false" outlineLevel="0" collapsed="false"/>
    <row r="144" s="112" customFormat="true" ht="15" hidden="false" customHeight="false" outlineLevel="0" collapsed="false">
      <c r="A144" s="107" t="s">
        <v>373</v>
      </c>
    </row>
    <row r="146" customFormat="false" ht="15" hidden="false" customHeight="false" outlineLevel="0" collapsed="false">
      <c r="A146" s="14" t="s">
        <v>374</v>
      </c>
      <c r="B146" s="16"/>
      <c r="C146" s="16"/>
      <c r="D146" s="16"/>
      <c r="E146" s="16"/>
      <c r="F146" s="16"/>
      <c r="G146" s="16"/>
      <c r="H146" s="16"/>
      <c r="I146" s="16"/>
      <c r="J146" s="16"/>
    </row>
    <row r="147" customFormat="false" ht="15" hidden="false" customHeight="false" outlineLevel="0" collapsed="false">
      <c r="A147" s="0" t="s">
        <v>351</v>
      </c>
      <c r="B147" s="115" t="n">
        <v>459800000</v>
      </c>
      <c r="C147" s="148" t="s">
        <v>352</v>
      </c>
    </row>
    <row r="148" customFormat="false" ht="15" hidden="false" customHeight="false" outlineLevel="0" collapsed="false">
      <c r="A148" s="0" t="s">
        <v>375</v>
      </c>
      <c r="B148" s="115" t="n">
        <v>14500000</v>
      </c>
      <c r="C148" s="73" t="s">
        <v>354</v>
      </c>
    </row>
    <row r="149" customFormat="false" ht="15" hidden="false" customHeight="false" outlineLevel="0" collapsed="false">
      <c r="A149" s="0" t="s">
        <v>376</v>
      </c>
      <c r="B149" s="115" t="n">
        <v>8300000</v>
      </c>
      <c r="C149" s="73" t="s">
        <v>354</v>
      </c>
    </row>
    <row r="150" customFormat="false" ht="15" hidden="false" customHeight="false" outlineLevel="0" collapsed="false">
      <c r="A150" s="0" t="s">
        <v>377</v>
      </c>
      <c r="B150" s="115" t="n">
        <v>39300000</v>
      </c>
      <c r="C150" s="73" t="s">
        <v>354</v>
      </c>
    </row>
    <row r="151" customFormat="false" ht="15" hidden="false" customHeight="false" outlineLevel="0" collapsed="false">
      <c r="A151" s="1" t="s">
        <v>208</v>
      </c>
      <c r="B151" s="153" t="n">
        <f aca="false">(B148+B149+B150)/B147</f>
        <v>0.135058721183123</v>
      </c>
    </row>
    <row r="153" customFormat="false" ht="15" hidden="false" customHeight="false" outlineLevel="0" collapsed="false">
      <c r="A153" s="14" t="s">
        <v>379</v>
      </c>
      <c r="B153" s="123"/>
      <c r="C153" s="123"/>
      <c r="D153" s="123"/>
      <c r="E153" s="123"/>
      <c r="F153" s="123"/>
      <c r="G153" s="123"/>
      <c r="H153" s="123"/>
      <c r="I153" s="123"/>
      <c r="J153" s="123"/>
    </row>
    <row r="154" customFormat="false" ht="15" hidden="false" customHeight="false" outlineLevel="0" collapsed="false">
      <c r="A154" s="0" t="s">
        <v>351</v>
      </c>
      <c r="B154" s="115" t="n">
        <f aca="false">B115</f>
        <v>2501582591.49297</v>
      </c>
      <c r="C154" s="148" t="s">
        <v>352</v>
      </c>
    </row>
    <row r="155" customFormat="false" ht="15" hidden="false" customHeight="false" outlineLevel="0" collapsed="false">
      <c r="A155" s="0" t="s">
        <v>375</v>
      </c>
      <c r="B155" s="115" t="n">
        <f aca="false">ROUND(C111/30,-5)</f>
        <v>79400000</v>
      </c>
      <c r="C155" s="73" t="s">
        <v>354</v>
      </c>
    </row>
    <row r="156" customFormat="false" ht="15" hidden="false" customHeight="false" outlineLevel="0" collapsed="false">
      <c r="A156" s="0" t="s">
        <v>380</v>
      </c>
      <c r="B156" s="115" t="n">
        <f aca="false">B151*B154-B155</f>
        <v>258460545.741003</v>
      </c>
      <c r="C156" s="73" t="s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:U16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9" activeCellId="1" sqref="M57:AC68 A39"/>
    </sheetView>
  </sheetViews>
  <sheetFormatPr defaultRowHeight="15"/>
  <cols>
    <col collapsed="false" hidden="false" max="1" min="1" style="0" width="51.7040816326531"/>
    <col collapsed="false" hidden="false" max="2" min="2" style="0" width="22.6785714285714"/>
    <col collapsed="false" hidden="false" max="3" min="3" style="0" width="13.0918367346939"/>
    <col collapsed="false" hidden="false" max="4" min="4" style="0" width="29.8316326530612"/>
    <col collapsed="false" hidden="false" max="5" min="5" style="0" width="18.4948979591837"/>
    <col collapsed="false" hidden="false" max="6" min="6" style="0" width="12.5561224489796"/>
    <col collapsed="false" hidden="false" max="7" min="7" style="0" width="11.2040816326531"/>
    <col collapsed="false" hidden="false" max="8" min="8" style="0" width="11.0714285714286"/>
    <col collapsed="false" hidden="false" max="9" min="9" style="0" width="10.6632653061225"/>
    <col collapsed="false" hidden="false" max="10" min="10" style="0" width="10.9336734693878"/>
    <col collapsed="false" hidden="false" max="11" min="11" style="0" width="11.0714285714286"/>
    <col collapsed="false" hidden="false" max="34" min="12" style="0" width="10.6632653061225"/>
    <col collapsed="false" hidden="false" max="1025" min="35" style="0" width="8.63775510204082"/>
  </cols>
  <sheetData>
    <row r="1" customFormat="false" ht="27" hidden="false" customHeight="true" outlineLevel="0" collapsed="false">
      <c r="A1" s="8" t="s">
        <v>487</v>
      </c>
    </row>
    <row r="2" customFormat="false" ht="15" hidden="false" customHeight="false" outlineLevel="0" collapsed="false">
      <c r="A2" s="9" t="s">
        <v>279</v>
      </c>
    </row>
    <row r="3" customFormat="false" ht="15" hidden="false" customHeight="false" outlineLevel="0" collapsed="false">
      <c r="A3" s="0" t="s">
        <v>488</v>
      </c>
    </row>
    <row r="4" customFormat="false" ht="15" hidden="false" customHeight="false" outlineLevel="0" collapsed="false">
      <c r="A4" s="0" t="s">
        <v>489</v>
      </c>
    </row>
    <row r="5" customFormat="false" ht="15" hidden="false" customHeight="false" outlineLevel="0" collapsed="false">
      <c r="A5" s="0" t="s">
        <v>490</v>
      </c>
    </row>
    <row r="6" customFormat="false" ht="15" hidden="false" customHeight="false" outlineLevel="0" collapsed="false">
      <c r="A6" s="0" t="s">
        <v>384</v>
      </c>
    </row>
    <row r="7" customFormat="false" ht="15" hidden="false" customHeight="false" outlineLevel="0" collapsed="false">
      <c r="A7" s="11" t="s">
        <v>111</v>
      </c>
      <c r="B7" s="12" t="s">
        <v>385</v>
      </c>
    </row>
    <row r="8" customFormat="false" ht="15" hidden="false" customHeight="false" outlineLevel="0" collapsed="false">
      <c r="A8" s="0" t="s">
        <v>15</v>
      </c>
      <c r="B8" s="0" t="s">
        <v>386</v>
      </c>
    </row>
    <row r="9" s="13" customFormat="true" ht="15" hidden="false" customHeight="false" outlineLevel="0" collapsed="false"/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1" customFormat="false" ht="15" hidden="false" customHeight="false" outlineLevel="0" collapsed="false">
      <c r="B11" s="60" t="s">
        <v>114</v>
      </c>
      <c r="C11" s="1" t="s">
        <v>387</v>
      </c>
      <c r="D11" s="60" t="s">
        <v>114</v>
      </c>
      <c r="E11" s="1" t="s">
        <v>388</v>
      </c>
      <c r="H11" s="1"/>
    </row>
    <row r="12" customFormat="false" ht="15" hidden="false" customHeight="false" outlineLevel="0" collapsed="false">
      <c r="A12" s="0" t="s">
        <v>283</v>
      </c>
      <c r="B12" s="20" t="s">
        <v>389</v>
      </c>
      <c r="C12" s="154" t="n">
        <f aca="false">B35*1000/(B36*1000)</f>
        <v>1.35189941868325</v>
      </c>
      <c r="D12" s="20" t="s">
        <v>389</v>
      </c>
      <c r="E12" s="125" t="n">
        <f aca="false">B35*1000/B38</f>
        <v>103.830299758075</v>
      </c>
      <c r="F12" s="0" t="s">
        <v>285</v>
      </c>
      <c r="H12" s="1"/>
    </row>
    <row r="13" customFormat="false" ht="15" hidden="false" customHeight="false" outlineLevel="0" collapsed="false">
      <c r="A13" s="0" t="s">
        <v>286</v>
      </c>
      <c r="B13" s="20" t="s">
        <v>390</v>
      </c>
      <c r="C13" s="126" t="n">
        <f aca="false">B127/B36/1000</f>
        <v>0.00568464521839455</v>
      </c>
      <c r="D13" s="20" t="s">
        <v>390</v>
      </c>
      <c r="E13" s="29" t="n">
        <f aca="false">B127/B38</f>
        <v>0.436599357087607</v>
      </c>
      <c r="F13" s="0" t="s">
        <v>285</v>
      </c>
      <c r="H13" s="1"/>
    </row>
    <row r="14" customFormat="false" ht="15" hidden="false" customHeight="false" outlineLevel="0" collapsed="false">
      <c r="A14" s="0" t="s">
        <v>290</v>
      </c>
      <c r="B14" s="20" t="s">
        <v>391</v>
      </c>
      <c r="C14" s="126" t="n">
        <f aca="false">B128/B36/1000</f>
        <v>0.000284634151345064</v>
      </c>
      <c r="D14" s="20" t="s">
        <v>391</v>
      </c>
      <c r="E14" s="29" t="n">
        <f aca="false">B128/B38</f>
        <v>0.0218608343543254</v>
      </c>
      <c r="F14" s="0" t="s">
        <v>285</v>
      </c>
      <c r="H14" s="127"/>
    </row>
    <row r="15" customFormat="false" ht="15" hidden="false" customHeight="false" outlineLevel="0" collapsed="false">
      <c r="A15" s="0" t="s">
        <v>491</v>
      </c>
      <c r="B15" s="20" t="s">
        <v>393</v>
      </c>
      <c r="C15" s="128" t="n">
        <f aca="false">B38/(B36*1000)</f>
        <v>0.0130202784912802</v>
      </c>
      <c r="D15" s="20" t="s">
        <v>394</v>
      </c>
      <c r="E15" s="21" t="n">
        <f aca="false">B36/B38</f>
        <v>0.0768032727310484</v>
      </c>
      <c r="F15" s="0" t="s">
        <v>395</v>
      </c>
      <c r="H15" s="95" t="s">
        <v>492</v>
      </c>
      <c r="I15" s="95"/>
      <c r="J15" s="95"/>
      <c r="K15" s="95"/>
      <c r="L15" s="95"/>
    </row>
    <row r="16" customFormat="false" ht="15" hidden="false" customHeight="false" outlineLevel="0" collapsed="false">
      <c r="A16" s="16" t="s">
        <v>396</v>
      </c>
      <c r="B16" s="20" t="s">
        <v>397</v>
      </c>
      <c r="C16" s="129" t="n">
        <f aca="false">SUM(C17:C20)</f>
        <v>0.11288840187128</v>
      </c>
      <c r="D16" s="20" t="s">
        <v>397</v>
      </c>
      <c r="E16" s="130" t="n">
        <f aca="false">SUM(E17:E20)</f>
        <v>8.67019871709211</v>
      </c>
      <c r="F16" s="16" t="s">
        <v>294</v>
      </c>
      <c r="G16" s="16"/>
    </row>
    <row r="17" customFormat="false" ht="15" hidden="false" customHeight="false" outlineLevel="0" collapsed="false">
      <c r="A17" s="0" t="s">
        <v>295</v>
      </c>
      <c r="C17" s="131" t="n">
        <f aca="false">B126/B26/B36/1000</f>
        <v>0.0387111520396016</v>
      </c>
      <c r="E17" s="132" t="n">
        <f aca="false">B126/B26/B38</f>
        <v>2.9731431678306</v>
      </c>
      <c r="G17" s="0" t="s">
        <v>296</v>
      </c>
    </row>
    <row r="18" customFormat="false" ht="15" hidden="false" customHeight="false" outlineLevel="0" collapsed="false">
      <c r="A18" s="0" t="s">
        <v>297</v>
      </c>
      <c r="C18" s="131" t="n">
        <f aca="false">B151/B26/B36/1000</f>
        <v>0.0115172190768349</v>
      </c>
      <c r="E18" s="132" t="n">
        <f aca="false">B151/B26/B38</f>
        <v>0.884560117861386</v>
      </c>
    </row>
    <row r="19" customFormat="false" ht="15" hidden="false" customHeight="false" outlineLevel="0" collapsed="false">
      <c r="A19" s="0" t="s">
        <v>298</v>
      </c>
      <c r="C19" s="131" t="n">
        <f aca="false">B165/B26/B36/1000</f>
        <v>0.0147031053394525</v>
      </c>
      <c r="E19" s="132" t="n">
        <f aca="false">B165/B26/B38</f>
        <v>1.1292466093793</v>
      </c>
      <c r="H19" s="106"/>
    </row>
    <row r="20" customFormat="false" ht="15" hidden="false" customHeight="false" outlineLevel="0" collapsed="false">
      <c r="A20" s="0" t="s">
        <v>299</v>
      </c>
      <c r="C20" s="131" t="n">
        <f aca="false">B166/B26/B36/1000</f>
        <v>0.047956925415391</v>
      </c>
      <c r="E20" s="132" t="n">
        <f aca="false">B166/B26/B38</f>
        <v>3.68324882202082</v>
      </c>
    </row>
    <row r="21" customFormat="false" ht="15" hidden="false" customHeight="false" outlineLevel="0" collapsed="false">
      <c r="D21" s="106"/>
    </row>
    <row r="23" s="13" customFormat="true" ht="15" hidden="false" customHeight="false" outlineLevel="0" collapsed="false">
      <c r="I23" s="133"/>
    </row>
    <row r="24" customFormat="false" ht="15" hidden="false" customHeight="false" outlineLevel="0" collapsed="false">
      <c r="A24" s="107" t="s">
        <v>300</v>
      </c>
      <c r="I24" s="109"/>
    </row>
    <row r="25" customFormat="false" ht="15" hidden="false" customHeight="false" outlineLevel="0" collapsed="false">
      <c r="A25" s="107"/>
      <c r="I25" s="109"/>
    </row>
    <row r="26" customFormat="false" ht="15" hidden="false" customHeight="false" outlineLevel="0" collapsed="false">
      <c r="A26" s="73" t="s">
        <v>301</v>
      </c>
      <c r="B26" s="109" t="n">
        <v>3.29427384524826</v>
      </c>
      <c r="I26" s="109"/>
    </row>
    <row r="27" customFormat="false" ht="15" hidden="false" customHeight="false" outlineLevel="0" collapsed="false">
      <c r="I27" s="109"/>
    </row>
    <row r="28" customFormat="false" ht="15" hidden="false" customHeight="false" outlineLevel="0" collapsed="false">
      <c r="A28" s="0" t="s">
        <v>302</v>
      </c>
      <c r="B28" s="0" t="n">
        <v>1215</v>
      </c>
      <c r="C28" s="0" t="s">
        <v>398</v>
      </c>
      <c r="D28" s="0" t="s">
        <v>304</v>
      </c>
      <c r="I28" s="109"/>
    </row>
    <row r="29" customFormat="false" ht="15" hidden="false" customHeight="false" outlineLevel="0" collapsed="false">
      <c r="A29" s="0" t="s">
        <v>305</v>
      </c>
      <c r="B29" s="0" t="n">
        <v>0.9</v>
      </c>
      <c r="C29" s="0" t="s">
        <v>306</v>
      </c>
      <c r="I29" s="109"/>
    </row>
    <row r="30" customFormat="false" ht="15" hidden="false" customHeight="false" outlineLevel="0" collapsed="false">
      <c r="A30" s="0" t="s">
        <v>307</v>
      </c>
      <c r="B30" s="0" t="n">
        <f aca="false">B28*1000/24/B29</f>
        <v>56250</v>
      </c>
      <c r="C30" s="0" t="s">
        <v>308</v>
      </c>
      <c r="D30" s="0" t="s">
        <v>309</v>
      </c>
      <c r="I30" s="109"/>
    </row>
    <row r="31" customFormat="false" ht="15" hidden="false" customHeight="false" outlineLevel="0" collapsed="false">
      <c r="A31" s="0" t="s">
        <v>400</v>
      </c>
      <c r="B31" s="112" t="n">
        <v>0.274</v>
      </c>
      <c r="C31" s="0" t="s">
        <v>306</v>
      </c>
      <c r="D31" s="0" t="s">
        <v>493</v>
      </c>
      <c r="I31" s="109"/>
    </row>
    <row r="32" customFormat="false" ht="15" hidden="false" customHeight="false" outlineLevel="0" collapsed="false">
      <c r="A32" s="0" t="s">
        <v>402</v>
      </c>
      <c r="B32" s="0" t="n">
        <v>0.95</v>
      </c>
      <c r="C32" s="0" t="s">
        <v>306</v>
      </c>
      <c r="D32" s="0" t="s">
        <v>494</v>
      </c>
      <c r="I32" s="109"/>
    </row>
    <row r="33" customFormat="false" ht="15" hidden="false" customHeight="false" outlineLevel="0" collapsed="false">
      <c r="A33" s="0" t="s">
        <v>403</v>
      </c>
      <c r="B33" s="0" t="n">
        <v>37</v>
      </c>
      <c r="C33" s="0" t="s">
        <v>404</v>
      </c>
      <c r="D33" s="0" t="s">
        <v>405</v>
      </c>
      <c r="I33" s="109"/>
    </row>
    <row r="34" customFormat="false" ht="15" hidden="false" customHeight="false" outlineLevel="0" collapsed="false">
      <c r="A34" s="0" t="s">
        <v>312</v>
      </c>
      <c r="B34" s="37" t="n">
        <f aca="false">2229*E34</f>
        <v>2022.115365</v>
      </c>
      <c r="C34" s="0" t="s">
        <v>406</v>
      </c>
      <c r="D34" s="0" t="s">
        <v>314</v>
      </c>
      <c r="E34" s="0" t="n">
        <v>0.907185</v>
      </c>
      <c r="F34" s="0" t="s">
        <v>408</v>
      </c>
      <c r="I34" s="109"/>
    </row>
    <row r="35" customFormat="false" ht="15" hidden="false" customHeight="false" outlineLevel="0" collapsed="false">
      <c r="A35" s="0" t="s">
        <v>409</v>
      </c>
      <c r="B35" s="135" t="n">
        <f aca="false">B28*365*B29</f>
        <v>399127.5</v>
      </c>
      <c r="C35" s="0" t="s">
        <v>410</v>
      </c>
      <c r="I35" s="109"/>
    </row>
    <row r="36" customFormat="false" ht="15" hidden="false" customHeight="false" outlineLevel="0" collapsed="false">
      <c r="A36" s="0" t="s">
        <v>411</v>
      </c>
      <c r="B36" s="135" t="n">
        <f aca="false">B28*365*B29*(1-B31*B32)</f>
        <v>295234.61175</v>
      </c>
      <c r="C36" s="0" t="s">
        <v>410</v>
      </c>
      <c r="I36" s="109"/>
    </row>
    <row r="37" customFormat="false" ht="15" hidden="false" customHeight="false" outlineLevel="0" collapsed="false">
      <c r="A37" s="0" t="s">
        <v>412</v>
      </c>
      <c r="B37" s="135" t="n">
        <f aca="false">B28*365*B29*B31*B32</f>
        <v>103892.88825</v>
      </c>
      <c r="C37" s="0" t="s">
        <v>410</v>
      </c>
      <c r="I37" s="109"/>
    </row>
    <row r="38" customFormat="false" ht="15" hidden="false" customHeight="false" outlineLevel="0" collapsed="false">
      <c r="A38" s="0" t="s">
        <v>413</v>
      </c>
      <c r="B38" s="135" t="n">
        <f aca="false">B37*B33</f>
        <v>3844036.86525</v>
      </c>
      <c r="C38" s="0" t="s">
        <v>326</v>
      </c>
      <c r="I38" s="109"/>
    </row>
    <row r="39" customFormat="false" ht="15" hidden="false" customHeight="false" outlineLevel="0" collapsed="false">
      <c r="C39" s="63"/>
    </row>
    <row r="40" s="13" customFormat="true" ht="15" hidden="false" customHeight="false" outlineLevel="0" collapsed="false">
      <c r="L40" s="110"/>
      <c r="O40" s="34"/>
    </row>
    <row r="41" s="112" customFormat="true" ht="15" hidden="false" customHeight="false" outlineLevel="0" collapsed="false">
      <c r="A41" s="111" t="s">
        <v>315</v>
      </c>
      <c r="L41" s="113"/>
      <c r="O41" s="114"/>
    </row>
    <row r="42" s="112" customFormat="true" ht="15" hidden="false" customHeight="false" outlineLevel="0" collapsed="false">
      <c r="A42" s="0"/>
      <c r="L42" s="113"/>
      <c r="O42" s="114"/>
    </row>
    <row r="43" customFormat="false" ht="15" hidden="false" customHeight="false" outlineLevel="0" collapsed="false">
      <c r="A43" s="14" t="s">
        <v>495</v>
      </c>
      <c r="B43" s="14"/>
      <c r="C43" s="14"/>
      <c r="D43" s="14"/>
      <c r="E43" s="16"/>
      <c r="F43" s="16"/>
      <c r="G43" s="16"/>
      <c r="H43" s="16"/>
      <c r="I43" s="16"/>
      <c r="J43" s="16"/>
      <c r="L43" s="39"/>
    </row>
    <row r="44" customFormat="false" ht="15" hidden="false" customHeight="false" outlineLevel="0" collapsed="false">
      <c r="A44" s="73" t="s">
        <v>496</v>
      </c>
      <c r="J44" s="61"/>
      <c r="L44" s="39"/>
    </row>
    <row r="45" customFormat="false" ht="15" hidden="false" customHeight="false" outlineLevel="0" collapsed="false">
      <c r="A45" s="0" t="s">
        <v>497</v>
      </c>
      <c r="B45" s="116" t="n">
        <v>18612122</v>
      </c>
      <c r="C45" s="0" t="s">
        <v>321</v>
      </c>
      <c r="D45" s="0" t="s">
        <v>498</v>
      </c>
      <c r="J45" s="61"/>
      <c r="L45" s="39"/>
    </row>
    <row r="46" customFormat="false" ht="15" hidden="false" customHeight="false" outlineLevel="0" collapsed="false">
      <c r="A46" s="0" t="s">
        <v>499</v>
      </c>
      <c r="B46" s="0" t="n">
        <v>32872</v>
      </c>
      <c r="C46" s="0" t="s">
        <v>500</v>
      </c>
      <c r="D46" s="0" t="s">
        <v>498</v>
      </c>
      <c r="J46" s="61"/>
      <c r="L46" s="39"/>
    </row>
    <row r="47" customFormat="false" ht="15" hidden="false" customHeight="false" outlineLevel="0" collapsed="false">
      <c r="A47" s="0" t="s">
        <v>501</v>
      </c>
      <c r="B47" s="37" t="n">
        <f aca="false">B73*(1-B32*B31)</f>
        <v>69248.0896060417</v>
      </c>
      <c r="C47" s="0" t="s">
        <v>500</v>
      </c>
      <c r="D47" s="0" t="s">
        <v>502</v>
      </c>
      <c r="J47" s="61"/>
      <c r="L47" s="39"/>
    </row>
    <row r="48" customFormat="false" ht="15" hidden="false" customHeight="false" outlineLevel="0" collapsed="false">
      <c r="A48" s="0" t="s">
        <v>503</v>
      </c>
      <c r="B48" s="0" t="n">
        <v>0.8</v>
      </c>
      <c r="D48" s="0" t="s">
        <v>498</v>
      </c>
      <c r="J48" s="61"/>
      <c r="L48" s="39"/>
    </row>
    <row r="49" customFormat="false" ht="15" hidden="false" customHeight="false" outlineLevel="0" collapsed="false">
      <c r="A49" s="0" t="s">
        <v>504</v>
      </c>
      <c r="B49" s="116" t="n">
        <f aca="false">B45*(B47/B46)^B48</f>
        <v>33780122.9068495</v>
      </c>
      <c r="C49" s="0" t="s">
        <v>321</v>
      </c>
      <c r="D49" s="0" t="s">
        <v>505</v>
      </c>
      <c r="F49" s="61"/>
      <c r="G49" s="61"/>
      <c r="H49" s="61"/>
      <c r="I49" s="61"/>
      <c r="J49" s="61"/>
      <c r="L49" s="39"/>
    </row>
    <row r="50" customFormat="false" ht="15" hidden="false" customHeight="false" outlineLevel="0" collapsed="false">
      <c r="E50" s="61"/>
      <c r="F50" s="61"/>
      <c r="G50" s="61"/>
      <c r="H50" s="61"/>
      <c r="I50" s="61"/>
    </row>
    <row r="51" customFormat="false" ht="15" hidden="false" customHeight="false" outlineLevel="0" collapsed="false">
      <c r="A51" s="0" t="s">
        <v>320</v>
      </c>
      <c r="B51" s="115" t="n">
        <f aca="false">B49</f>
        <v>33780122.9068495</v>
      </c>
      <c r="C51" s="138" t="s">
        <v>352</v>
      </c>
      <c r="D51" s="0" t="s">
        <v>506</v>
      </c>
    </row>
    <row r="52" customFormat="false" ht="15" hidden="false" customHeight="false" outlineLevel="0" collapsed="false">
      <c r="A52" s="0" t="s">
        <v>323</v>
      </c>
      <c r="B52" s="112" t="n">
        <v>0</v>
      </c>
      <c r="C52" s="0" t="s">
        <v>419</v>
      </c>
      <c r="D52" s="0" t="s">
        <v>507</v>
      </c>
    </row>
    <row r="53" customFormat="false" ht="15" hidden="false" customHeight="false" outlineLevel="0" collapsed="false">
      <c r="A53" s="0" t="s">
        <v>325</v>
      </c>
      <c r="B53" s="37" t="n">
        <f aca="false">B61*(1.05506*10^(-6))</f>
        <v>1224698.73430633</v>
      </c>
      <c r="C53" s="0" t="s">
        <v>326</v>
      </c>
    </row>
    <row r="54" customFormat="false" ht="15" hidden="false" customHeight="false" outlineLevel="0" collapsed="false">
      <c r="A54" s="0" t="s">
        <v>327</v>
      </c>
      <c r="B54" s="0" t="n">
        <v>0</v>
      </c>
      <c r="C54" s="0" t="s">
        <v>326</v>
      </c>
      <c r="D54" s="0" t="s">
        <v>508</v>
      </c>
    </row>
    <row r="56" customFormat="false" ht="15" hidden="false" customHeight="false" outlineLevel="0" collapsed="false">
      <c r="A56" s="73" t="s">
        <v>509</v>
      </c>
    </row>
    <row r="57" customFormat="false" ht="15" hidden="false" customHeight="false" outlineLevel="0" collapsed="false">
      <c r="A57" s="0" t="s">
        <v>510</v>
      </c>
      <c r="B57" s="116" t="n">
        <f aca="false">3.72*10^6</f>
        <v>3720000</v>
      </c>
      <c r="C57" s="0" t="s">
        <v>324</v>
      </c>
      <c r="I57" s="61"/>
      <c r="J57" s="61"/>
      <c r="K57" s="61"/>
      <c r="L57" s="61"/>
    </row>
    <row r="58" customFormat="false" ht="15" hidden="false" customHeight="false" outlineLevel="0" collapsed="false">
      <c r="A58" s="0" t="s">
        <v>511</v>
      </c>
      <c r="B58" s="0" t="n">
        <v>5.1</v>
      </c>
      <c r="C58" s="0" t="s">
        <v>512</v>
      </c>
      <c r="I58" s="61"/>
      <c r="J58" s="61"/>
      <c r="K58" s="61"/>
      <c r="L58" s="61"/>
    </row>
    <row r="59" customFormat="false" ht="15" hidden="false" customHeight="false" outlineLevel="0" collapsed="false">
      <c r="A59" s="0" t="s">
        <v>513</v>
      </c>
      <c r="B59" s="0" t="n">
        <v>930</v>
      </c>
      <c r="C59" s="0" t="s">
        <v>514</v>
      </c>
      <c r="I59" s="61"/>
      <c r="J59" s="61"/>
      <c r="K59" s="61"/>
      <c r="L59" s="61"/>
    </row>
    <row r="60" customFormat="false" ht="15" hidden="false" customHeight="false" outlineLevel="0" collapsed="false">
      <c r="B60" s="0" t="n">
        <f aca="false">B57/B58*1000*B59</f>
        <v>678352941176.471</v>
      </c>
      <c r="C60" s="0" t="s">
        <v>318</v>
      </c>
      <c r="I60" s="61"/>
      <c r="J60" s="61"/>
      <c r="K60" s="61"/>
      <c r="L60" s="61"/>
    </row>
    <row r="61" customFormat="false" ht="15" hidden="false" customHeight="false" outlineLevel="0" collapsed="false">
      <c r="A61" s="0" t="s">
        <v>515</v>
      </c>
      <c r="B61" s="0" t="n">
        <f aca="false">B60*(B28/B29*1000/24)/B46</f>
        <v>1160785864601.38</v>
      </c>
      <c r="C61" s="0" t="s">
        <v>318</v>
      </c>
      <c r="I61" s="61"/>
      <c r="J61" s="61"/>
      <c r="K61" s="61"/>
      <c r="L61" s="61"/>
    </row>
    <row r="65" customFormat="false" ht="15" hidden="false" customHeight="false" outlineLevel="0" collapsed="false">
      <c r="A65" s="14" t="s">
        <v>516</v>
      </c>
      <c r="B65" s="14"/>
      <c r="C65" s="14"/>
      <c r="D65" s="14"/>
      <c r="E65" s="16"/>
      <c r="F65" s="16"/>
      <c r="G65" s="16"/>
      <c r="H65" s="16"/>
      <c r="I65" s="16"/>
      <c r="J65" s="16"/>
    </row>
    <row r="66" customFormat="false" ht="15" hidden="false" customHeight="false" outlineLevel="0" collapsed="false">
      <c r="A66" s="0" t="s">
        <v>320</v>
      </c>
      <c r="B66" s="115" t="n">
        <f aca="false">B75*(B73/B72)^B74</f>
        <v>188724138.160512</v>
      </c>
      <c r="C66" s="138" t="s">
        <v>352</v>
      </c>
    </row>
    <row r="67" customFormat="false" ht="15" hidden="false" customHeight="false" outlineLevel="0" collapsed="false">
      <c r="A67" s="0" t="s">
        <v>323</v>
      </c>
      <c r="B67" s="142" t="n">
        <f aca="false">(8.58+0.25+0.36+0.22)*B73/B72</f>
        <v>37.6498339218808</v>
      </c>
      <c r="C67" s="0" t="s">
        <v>419</v>
      </c>
      <c r="D67" s="0" t="s">
        <v>433</v>
      </c>
    </row>
    <row r="68" customFormat="false" ht="15" hidden="false" customHeight="false" outlineLevel="0" collapsed="false">
      <c r="A68" s="0" t="s">
        <v>325</v>
      </c>
      <c r="B68" s="155" t="n">
        <f aca="false">B82</f>
        <v>453605.289682879</v>
      </c>
      <c r="C68" s="0" t="s">
        <v>326</v>
      </c>
      <c r="J68" s="1"/>
    </row>
    <row r="69" customFormat="false" ht="15" hidden="false" customHeight="false" outlineLevel="0" collapsed="false">
      <c r="A69" s="0" t="s">
        <v>327</v>
      </c>
      <c r="B69" s="37" t="n">
        <f aca="false">B77*24*365*B29*3.6</f>
        <v>84033.8531631507</v>
      </c>
      <c r="C69" s="0" t="s">
        <v>326</v>
      </c>
    </row>
    <row r="70" customFormat="false" ht="15" hidden="false" customHeight="false" outlineLevel="0" collapsed="false">
      <c r="B70" s="37"/>
    </row>
    <row r="71" customFormat="false" ht="15" hidden="false" customHeight="false" outlineLevel="0" collapsed="false">
      <c r="A71" s="73" t="s">
        <v>434</v>
      </c>
    </row>
    <row r="72" customFormat="false" ht="15" hidden="false" customHeight="false" outlineLevel="0" collapsed="false">
      <c r="A72" s="0" t="s">
        <v>435</v>
      </c>
      <c r="B72" s="0" t="n">
        <v>23398</v>
      </c>
      <c r="C72" s="0" t="s">
        <v>308</v>
      </c>
      <c r="D72" s="0" t="s">
        <v>436</v>
      </c>
    </row>
    <row r="73" customFormat="false" ht="15" hidden="false" customHeight="false" outlineLevel="0" collapsed="false">
      <c r="A73" s="0" t="s">
        <v>437</v>
      </c>
      <c r="B73" s="37" t="n">
        <f aca="false">B34/B29*1000/24</f>
        <v>93616.4520833333</v>
      </c>
      <c r="C73" s="0" t="s">
        <v>308</v>
      </c>
      <c r="D73" s="0" t="s">
        <v>438</v>
      </c>
    </row>
    <row r="74" customFormat="false" ht="15" hidden="false" customHeight="false" outlineLevel="0" collapsed="false">
      <c r="A74" s="0" t="s">
        <v>439</v>
      </c>
      <c r="B74" s="0" t="n">
        <v>0.7</v>
      </c>
      <c r="C74" s="0" t="s">
        <v>306</v>
      </c>
      <c r="D74" s="0" t="s">
        <v>440</v>
      </c>
    </row>
    <row r="75" customFormat="false" ht="15" hidden="false" customHeight="false" outlineLevel="0" collapsed="false">
      <c r="A75" s="0" t="s">
        <v>441</v>
      </c>
      <c r="B75" s="116" t="n">
        <v>71500000</v>
      </c>
      <c r="C75" s="0" t="s">
        <v>321</v>
      </c>
      <c r="D75" s="0" t="s">
        <v>329</v>
      </c>
    </row>
    <row r="76" customFormat="false" ht="15" hidden="false" customHeight="false" outlineLevel="0" collapsed="false">
      <c r="A76" s="0" t="s">
        <v>442</v>
      </c>
      <c r="B76" s="0" t="n">
        <f aca="false">18.5*0.04</f>
        <v>0.74</v>
      </c>
      <c r="C76" s="0" t="s">
        <v>517</v>
      </c>
      <c r="D76" s="0" t="s">
        <v>518</v>
      </c>
    </row>
    <row r="77" customFormat="false" ht="15" hidden="false" customHeight="false" outlineLevel="0" collapsed="false">
      <c r="A77" s="0" t="s">
        <v>445</v>
      </c>
      <c r="B77" s="28" t="n">
        <f aca="false">B76*B73/B72</f>
        <v>2.96077333710858</v>
      </c>
      <c r="C77" s="0" t="s">
        <v>517</v>
      </c>
    </row>
    <row r="78" customFormat="false" ht="15" hidden="false" customHeight="false" outlineLevel="0" collapsed="false">
      <c r="B78" s="28"/>
    </row>
    <row r="79" customFormat="false" ht="15" hidden="false" customHeight="false" outlineLevel="0" collapsed="false">
      <c r="A79" s="73" t="s">
        <v>447</v>
      </c>
    </row>
    <row r="80" customFormat="false" ht="15" hidden="false" customHeight="false" outlineLevel="0" collapsed="false">
      <c r="A80" s="0" t="s">
        <v>448</v>
      </c>
      <c r="B80" s="0" t="n">
        <v>5.72</v>
      </c>
      <c r="C80" s="0" t="s">
        <v>519</v>
      </c>
      <c r="D80" s="0" t="s">
        <v>520</v>
      </c>
    </row>
    <row r="81" customFormat="false" ht="15" hidden="false" customHeight="false" outlineLevel="0" collapsed="false">
      <c r="A81" s="0" t="s">
        <v>451</v>
      </c>
      <c r="B81" s="28" t="n">
        <f aca="false">B80*(B28/B29*1000/24)/B72</f>
        <v>13.7511753141294</v>
      </c>
      <c r="C81" s="0" t="s">
        <v>519</v>
      </c>
    </row>
    <row r="82" customFormat="false" ht="15" hidden="false" customHeight="false" outlineLevel="0" collapsed="false">
      <c r="A82" s="0" t="s">
        <v>451</v>
      </c>
      <c r="B82" s="37" t="n">
        <f aca="false">B81*24*365*B29*4.184</f>
        <v>453605.289682879</v>
      </c>
      <c r="C82" s="0" t="s">
        <v>326</v>
      </c>
      <c r="D82" s="116" t="n">
        <f aca="false">B82*947817/B59/1000*B58</f>
        <v>2357706.99434615</v>
      </c>
      <c r="E82" s="0" t="s">
        <v>324</v>
      </c>
    </row>
    <row r="84" customFormat="false" ht="15" hidden="false" customHeight="false" outlineLevel="0" collapsed="false">
      <c r="A84" s="73" t="s">
        <v>521</v>
      </c>
    </row>
    <row r="85" customFormat="false" ht="15" hidden="false" customHeight="false" outlineLevel="0" collapsed="false">
      <c r="A85" s="0" t="s">
        <v>522</v>
      </c>
      <c r="B85" s="116" t="n">
        <f aca="false">8.58*10^6</f>
        <v>8580000</v>
      </c>
      <c r="C85" s="0" t="s">
        <v>324</v>
      </c>
      <c r="D85" s="0" t="s">
        <v>330</v>
      </c>
    </row>
    <row r="86" customFormat="false" ht="15" hidden="false" customHeight="false" outlineLevel="0" collapsed="false">
      <c r="A86" s="0" t="s">
        <v>457</v>
      </c>
      <c r="B86" s="116" t="n">
        <f aca="false">B85*B73/B72</f>
        <v>34328966.530259</v>
      </c>
      <c r="C86" s="0" t="s">
        <v>324</v>
      </c>
    </row>
    <row r="87" customFormat="false" ht="15" hidden="false" customHeight="false" outlineLevel="0" collapsed="false">
      <c r="A87" s="5" t="s">
        <v>462</v>
      </c>
      <c r="B87" s="5" t="n">
        <v>0.5394</v>
      </c>
      <c r="C87" s="5" t="s">
        <v>463</v>
      </c>
      <c r="D87" s="5" t="s">
        <v>523</v>
      </c>
    </row>
    <row r="88" customFormat="false" ht="15" hidden="false" customHeight="false" outlineLevel="0" collapsed="false">
      <c r="A88" s="5" t="s">
        <v>465</v>
      </c>
      <c r="B88" s="0" t="n">
        <f aca="false">B86/B87*0.4536</f>
        <v>28868407.8941889</v>
      </c>
      <c r="C88" s="5" t="s">
        <v>461</v>
      </c>
    </row>
    <row r="89" customFormat="false" ht="15" hidden="false" customHeight="false" outlineLevel="0" collapsed="false">
      <c r="B89" s="116"/>
    </row>
    <row r="90" customFormat="false" ht="15" hidden="false" customHeight="false" outlineLevel="0" collapsed="false">
      <c r="B90" s="116"/>
    </row>
    <row r="91" customFormat="false" ht="15" hidden="false" customHeight="false" outlineLevel="0" collapsed="false">
      <c r="A91" s="14" t="s">
        <v>524</v>
      </c>
      <c r="B91" s="14"/>
      <c r="C91" s="14"/>
      <c r="D91" s="14"/>
      <c r="E91" s="16"/>
      <c r="F91" s="16"/>
      <c r="G91" s="16"/>
      <c r="H91" s="16"/>
      <c r="I91" s="16"/>
      <c r="J91" s="16"/>
    </row>
    <row r="92" customFormat="false" ht="15" hidden="false" customHeight="false" outlineLevel="0" collapsed="false">
      <c r="A92" s="0" t="s">
        <v>320</v>
      </c>
      <c r="B92" s="115" t="n">
        <v>4500000</v>
      </c>
      <c r="C92" s="138" t="s">
        <v>352</v>
      </c>
      <c r="D92" s="0" t="s">
        <v>329</v>
      </c>
    </row>
    <row r="93" customFormat="false" ht="15" hidden="false" customHeight="false" outlineLevel="0" collapsed="false">
      <c r="A93" s="0" t="s">
        <v>323</v>
      </c>
      <c r="B93" s="0" t="n">
        <v>0</v>
      </c>
      <c r="C93" s="0" t="s">
        <v>419</v>
      </c>
      <c r="D93" s="0" t="s">
        <v>330</v>
      </c>
    </row>
    <row r="94" customFormat="false" ht="15" hidden="false" customHeight="false" outlineLevel="0" collapsed="false">
      <c r="A94" s="0" t="s">
        <v>325</v>
      </c>
      <c r="B94" s="0" t="n">
        <v>0</v>
      </c>
      <c r="C94" s="0" t="s">
        <v>326</v>
      </c>
    </row>
    <row r="95" customFormat="false" ht="15" hidden="false" customHeight="false" outlineLevel="0" collapsed="false">
      <c r="A95" s="0" t="s">
        <v>327</v>
      </c>
      <c r="B95" s="0" t="n">
        <v>0</v>
      </c>
      <c r="C95" s="0" t="s">
        <v>326</v>
      </c>
    </row>
    <row r="97" customFormat="false" ht="15" hidden="false" customHeight="false" outlineLevel="0" collapsed="false">
      <c r="A97" s="14" t="s">
        <v>525</v>
      </c>
      <c r="B97" s="16"/>
      <c r="C97" s="16"/>
      <c r="D97" s="16"/>
      <c r="E97" s="16"/>
      <c r="F97" s="16"/>
      <c r="G97" s="16"/>
      <c r="H97" s="16"/>
      <c r="I97" s="16"/>
      <c r="J97" s="16"/>
    </row>
    <row r="98" customFormat="false" ht="15" hidden="false" customHeight="false" outlineLevel="0" collapsed="false">
      <c r="A98" s="0" t="s">
        <v>320</v>
      </c>
      <c r="B98" s="115" t="n">
        <v>5700000</v>
      </c>
      <c r="C98" s="138" t="s">
        <v>352</v>
      </c>
      <c r="D98" s="0" t="s">
        <v>329</v>
      </c>
    </row>
    <row r="99" customFormat="false" ht="15" hidden="false" customHeight="false" outlineLevel="0" collapsed="false">
      <c r="A99" s="0" t="s">
        <v>323</v>
      </c>
      <c r="B99" s="0" t="n">
        <v>0.2</v>
      </c>
      <c r="C99" s="0" t="s">
        <v>419</v>
      </c>
      <c r="D99" s="0" t="s">
        <v>526</v>
      </c>
    </row>
    <row r="100" customFormat="false" ht="15" hidden="false" customHeight="false" outlineLevel="0" collapsed="false">
      <c r="A100" s="0" t="s">
        <v>325</v>
      </c>
      <c r="B100" s="0" t="n">
        <v>0</v>
      </c>
      <c r="C100" s="0" t="s">
        <v>326</v>
      </c>
      <c r="D100" s="0" t="s">
        <v>527</v>
      </c>
    </row>
    <row r="101" customFormat="false" ht="15" hidden="false" customHeight="false" outlineLevel="0" collapsed="false">
      <c r="A101" s="0" t="s">
        <v>327</v>
      </c>
      <c r="B101" s="0" t="n">
        <v>0</v>
      </c>
      <c r="C101" s="0" t="s">
        <v>326</v>
      </c>
      <c r="D101" s="0" t="s">
        <v>527</v>
      </c>
    </row>
    <row r="103" s="13" customFormat="true" ht="15" hidden="false" customHeight="false" outlineLevel="0" collapsed="false">
      <c r="L103" s="110"/>
      <c r="O103" s="34"/>
    </row>
    <row r="104" customFormat="false" ht="15" hidden="false" customHeight="false" outlineLevel="0" collapsed="false">
      <c r="A104" s="107" t="s">
        <v>331</v>
      </c>
    </row>
    <row r="106" customFormat="false" ht="15" hidden="false" customHeight="false" outlineLevel="0" collapsed="false">
      <c r="A106" s="0" t="s">
        <v>332</v>
      </c>
      <c r="B106" s="0" t="s">
        <v>333</v>
      </c>
      <c r="C106" s="0" t="s">
        <v>340</v>
      </c>
    </row>
    <row r="107" customFormat="false" ht="15" hidden="false" customHeight="false" outlineLevel="0" collapsed="false">
      <c r="A107" s="0" t="s">
        <v>334</v>
      </c>
      <c r="B107" s="0" t="n">
        <v>4</v>
      </c>
      <c r="C107" s="116" t="n">
        <f aca="false">B107/100*($B$66+$B$92+$B$98)</f>
        <v>7956965.52642047</v>
      </c>
    </row>
    <row r="108" customFormat="false" ht="15" hidden="false" customHeight="false" outlineLevel="0" collapsed="false">
      <c r="A108" s="0" t="s">
        <v>335</v>
      </c>
      <c r="B108" s="0" t="n">
        <v>9</v>
      </c>
      <c r="C108" s="116" t="n">
        <f aca="false">B108/100*($B$66+$B$92+$B$98)</f>
        <v>17903172.4344461</v>
      </c>
    </row>
    <row r="109" customFormat="false" ht="15" hidden="false" customHeight="false" outlineLevel="0" collapsed="false">
      <c r="A109" s="0" t="s">
        <v>336</v>
      </c>
      <c r="B109" s="0" t="n">
        <v>4.5</v>
      </c>
      <c r="C109" s="116" t="n">
        <f aca="false">B109/100*($B$66+$B$92+$B$98)</f>
        <v>8951586.21722303</v>
      </c>
    </row>
    <row r="111" customFormat="false" ht="15" hidden="false" customHeight="false" outlineLevel="0" collapsed="false">
      <c r="A111" s="73" t="s">
        <v>337</v>
      </c>
      <c r="C111" s="115" t="n">
        <f aca="false">B51+B66+B92+B98+C107+C108+C109</f>
        <v>267515985.245451</v>
      </c>
    </row>
    <row r="113" customFormat="false" ht="15" hidden="false" customHeight="false" outlineLevel="0" collapsed="false">
      <c r="A113" s="0" t="s">
        <v>338</v>
      </c>
      <c r="B113" s="0" t="s">
        <v>339</v>
      </c>
      <c r="C113" s="0" t="s">
        <v>340</v>
      </c>
    </row>
    <row r="114" customFormat="false" ht="15" hidden="false" customHeight="false" outlineLevel="0" collapsed="false">
      <c r="A114" s="0" t="s">
        <v>341</v>
      </c>
      <c r="B114" s="0" t="n">
        <v>10</v>
      </c>
      <c r="C114" s="116" t="n">
        <f aca="false">B114/100*$C$111</f>
        <v>26751598.5245451</v>
      </c>
    </row>
    <row r="115" customFormat="false" ht="15" hidden="false" customHeight="false" outlineLevel="0" collapsed="false">
      <c r="A115" s="0" t="s">
        <v>342</v>
      </c>
      <c r="B115" s="0" t="n">
        <v>10</v>
      </c>
      <c r="C115" s="116" t="n">
        <f aca="false">B115/100*$C$111</f>
        <v>26751598.5245451</v>
      </c>
    </row>
    <row r="116" customFormat="false" ht="15" hidden="false" customHeight="false" outlineLevel="0" collapsed="false">
      <c r="A116" s="0" t="s">
        <v>343</v>
      </c>
      <c r="B116" s="0" t="n">
        <v>20</v>
      </c>
      <c r="C116" s="116" t="n">
        <f aca="false">B116/100*$C$111</f>
        <v>53503197.0490902</v>
      </c>
    </row>
    <row r="117" customFormat="false" ht="15" hidden="false" customHeight="false" outlineLevel="0" collapsed="false">
      <c r="A117" s="0" t="s">
        <v>344</v>
      </c>
      <c r="B117" s="0" t="n">
        <v>10</v>
      </c>
      <c r="C117" s="116" t="n">
        <f aca="false">B117/100*$C$111</f>
        <v>26751598.5245451</v>
      </c>
    </row>
    <row r="118" customFormat="false" ht="15" hidden="false" customHeight="false" outlineLevel="0" collapsed="false">
      <c r="A118" s="0" t="s">
        <v>345</v>
      </c>
      <c r="B118" s="0" t="n">
        <v>10</v>
      </c>
      <c r="C118" s="116" t="n">
        <f aca="false">B118/100*$C$111</f>
        <v>26751598.5245451</v>
      </c>
    </row>
    <row r="119" customFormat="false" ht="15" hidden="false" customHeight="false" outlineLevel="0" collapsed="false">
      <c r="U119" s="116"/>
    </row>
    <row r="120" customFormat="false" ht="15" hidden="false" customHeight="false" outlineLevel="0" collapsed="false">
      <c r="A120" s="73" t="s">
        <v>346</v>
      </c>
      <c r="C120" s="115" t="n">
        <f aca="false">SUM(C114:C118)</f>
        <v>160509591.147271</v>
      </c>
    </row>
    <row r="121" customFormat="false" ht="15" hidden="false" customHeight="false" outlineLevel="0" collapsed="false">
      <c r="A121" s="73" t="s">
        <v>347</v>
      </c>
      <c r="C121" s="115" t="n">
        <f aca="false">C111+C120</f>
        <v>428025576.392722</v>
      </c>
    </row>
    <row r="122" customFormat="false" ht="15" hidden="false" customHeight="false" outlineLevel="0" collapsed="false">
      <c r="A122" s="0" t="s">
        <v>12</v>
      </c>
      <c r="C122" s="115" t="n">
        <v>1800000</v>
      </c>
      <c r="D122" s="0" t="s">
        <v>471</v>
      </c>
    </row>
    <row r="123" customFormat="false" ht="15" hidden="false" customHeight="false" outlineLevel="0" collapsed="false">
      <c r="A123" s="0" t="s">
        <v>349</v>
      </c>
      <c r="C123" s="115" t="n">
        <f aca="false">D123/100*C121</f>
        <v>21401278.8196361</v>
      </c>
      <c r="D123" s="0" t="n">
        <v>5</v>
      </c>
      <c r="E123" s="0" t="s">
        <v>350</v>
      </c>
    </row>
    <row r="124" customFormat="false" ht="15" hidden="false" customHeight="false" outlineLevel="0" collapsed="false">
      <c r="C124" s="116"/>
    </row>
    <row r="125" customFormat="false" ht="15" hidden="false" customHeight="false" outlineLevel="0" collapsed="false">
      <c r="A125" s="107" t="s">
        <v>351</v>
      </c>
      <c r="B125" s="115" t="n">
        <f aca="false">C121+C122+C123</f>
        <v>451226855.212358</v>
      </c>
      <c r="C125" s="148" t="s">
        <v>352</v>
      </c>
    </row>
    <row r="126" customFormat="false" ht="15" hidden="false" customHeight="false" outlineLevel="0" collapsed="false">
      <c r="A126" s="107" t="s">
        <v>353</v>
      </c>
      <c r="B126" s="115" t="n">
        <f aca="false">(B52+B67+B93+Q8)*10^6</f>
        <v>37649833.9218808</v>
      </c>
      <c r="C126" s="148" t="s">
        <v>354</v>
      </c>
      <c r="D126" s="0" t="s">
        <v>355</v>
      </c>
    </row>
    <row r="127" s="1" customFormat="true" ht="15" hidden="false" customHeight="false" outlineLevel="0" collapsed="false">
      <c r="A127" s="107" t="s">
        <v>356</v>
      </c>
      <c r="B127" s="117" t="n">
        <f aca="false">B53+B68</f>
        <v>1678304.02398921</v>
      </c>
      <c r="C127" s="148" t="s">
        <v>326</v>
      </c>
      <c r="G127" s="73"/>
    </row>
    <row r="128" customFormat="false" ht="15" hidden="false" customHeight="false" outlineLevel="0" collapsed="false">
      <c r="A128" s="107" t="s">
        <v>357</v>
      </c>
      <c r="B128" s="117" t="n">
        <f aca="false">B69</f>
        <v>84033.8531631507</v>
      </c>
      <c r="C128" s="148" t="s">
        <v>326</v>
      </c>
    </row>
    <row r="129" customFormat="false" ht="15" hidden="false" customHeight="false" outlineLevel="0" collapsed="false">
      <c r="H129" s="116"/>
    </row>
    <row r="130" s="13" customFormat="true" ht="15" hidden="false" customHeight="false" outlineLevel="0" collapsed="false"/>
    <row r="131" customFormat="false" ht="15" hidden="false" customHeight="false" outlineLevel="0" collapsed="false">
      <c r="A131" s="107" t="s">
        <v>358</v>
      </c>
    </row>
    <row r="132" customFormat="false" ht="15" hidden="false" customHeight="false" outlineLevel="0" collapsed="false">
      <c r="A132" s="14" t="s">
        <v>359</v>
      </c>
      <c r="B132" s="16"/>
      <c r="C132" s="16"/>
      <c r="D132" s="16"/>
      <c r="E132" s="16"/>
      <c r="F132" s="16"/>
      <c r="G132" s="16"/>
      <c r="H132" s="16"/>
      <c r="I132" s="16"/>
      <c r="J132" s="16"/>
    </row>
    <row r="133" customFormat="false" ht="15" hidden="false" customHeight="false" outlineLevel="0" collapsed="false">
      <c r="A133" s="0" t="s">
        <v>360</v>
      </c>
      <c r="B133" s="0" t="s">
        <v>361</v>
      </c>
      <c r="C133" s="0" t="s">
        <v>472</v>
      </c>
      <c r="D133" s="0" t="s">
        <v>473</v>
      </c>
      <c r="E133" s="0" t="s">
        <v>474</v>
      </c>
      <c r="F133" s="0" t="s">
        <v>363</v>
      </c>
      <c r="G133" s="0" t="s">
        <v>19</v>
      </c>
    </row>
    <row r="134" customFormat="false" ht="15" hidden="false" customHeight="false" outlineLevel="0" collapsed="false">
      <c r="A134" s="0" t="s">
        <v>475</v>
      </c>
      <c r="B134" s="115" t="n">
        <v>155400</v>
      </c>
      <c r="C134" s="0" t="n">
        <v>1</v>
      </c>
      <c r="D134" s="0" t="n">
        <v>1</v>
      </c>
      <c r="E134" s="0" t="n">
        <f aca="false">C134*D134</f>
        <v>1</v>
      </c>
      <c r="F134" s="115" t="n">
        <f aca="false">E134*B134</f>
        <v>155400</v>
      </c>
    </row>
    <row r="135" customFormat="false" ht="15" hidden="false" customHeight="false" outlineLevel="0" collapsed="false">
      <c r="A135" s="0" t="s">
        <v>476</v>
      </c>
      <c r="B135" s="115" t="n">
        <v>74000</v>
      </c>
      <c r="C135" s="0" t="n">
        <v>2</v>
      </c>
      <c r="D135" s="0" t="n">
        <v>0.5</v>
      </c>
      <c r="E135" s="0" t="n">
        <f aca="false">C135*D135</f>
        <v>1</v>
      </c>
      <c r="F135" s="115" t="n">
        <f aca="false">E135*B135</f>
        <v>74000</v>
      </c>
    </row>
    <row r="136" customFormat="false" ht="15" hidden="false" customHeight="false" outlineLevel="0" collapsed="false">
      <c r="A136" s="0" t="s">
        <v>477</v>
      </c>
      <c r="B136" s="115" t="n">
        <v>60257</v>
      </c>
      <c r="C136" s="0" t="n">
        <v>1</v>
      </c>
      <c r="D136" s="0" t="n">
        <v>1</v>
      </c>
      <c r="E136" s="0" t="n">
        <f aca="false">C136*D136</f>
        <v>1</v>
      </c>
      <c r="F136" s="115" t="n">
        <f aca="false">E136*B136</f>
        <v>60257</v>
      </c>
    </row>
    <row r="137" customFormat="false" ht="15" hidden="false" customHeight="false" outlineLevel="0" collapsed="false">
      <c r="A137" s="0" t="s">
        <v>478</v>
      </c>
      <c r="B137" s="115" t="n">
        <v>42286</v>
      </c>
      <c r="C137" s="0" t="n">
        <v>12</v>
      </c>
      <c r="D137" s="94" t="n">
        <v>0.333333333</v>
      </c>
      <c r="E137" s="94" t="n">
        <f aca="false">C137*D137</f>
        <v>3.999999996</v>
      </c>
      <c r="F137" s="115" t="n">
        <f aca="false">E137*B137</f>
        <v>169143.999830856</v>
      </c>
      <c r="G137" s="0" t="s">
        <v>479</v>
      </c>
    </row>
    <row r="138" customFormat="false" ht="15" hidden="false" customHeight="false" outlineLevel="0" collapsed="false">
      <c r="A138" s="0" t="s">
        <v>480</v>
      </c>
      <c r="B138" s="115" t="n">
        <v>59200</v>
      </c>
      <c r="C138" s="0" t="n">
        <v>1</v>
      </c>
      <c r="D138" s="0" t="n">
        <v>1</v>
      </c>
      <c r="E138" s="0" t="n">
        <f aca="false">C138*D138</f>
        <v>1</v>
      </c>
      <c r="F138" s="115" t="n">
        <f aca="false">E138*B138</f>
        <v>59200</v>
      </c>
      <c r="M138" s="1"/>
      <c r="R138" s="1"/>
    </row>
    <row r="139" customFormat="false" ht="15" hidden="false" customHeight="false" outlineLevel="0" collapsed="false">
      <c r="A139" s="0" t="s">
        <v>481</v>
      </c>
      <c r="B139" s="115" t="n">
        <v>42286</v>
      </c>
      <c r="C139" s="0" t="n">
        <v>4</v>
      </c>
      <c r="D139" s="0" t="n">
        <v>0.5</v>
      </c>
      <c r="E139" s="0" t="n">
        <f aca="false">C139*D139</f>
        <v>2</v>
      </c>
      <c r="F139" s="115" t="n">
        <f aca="false">E139*B139</f>
        <v>84572</v>
      </c>
      <c r="G139" s="0" t="s">
        <v>482</v>
      </c>
    </row>
    <row r="140" customFormat="false" ht="15" hidden="false" customHeight="false" outlineLevel="0" collapsed="false">
      <c r="A140" s="0" t="s">
        <v>364</v>
      </c>
      <c r="B140" s="115" t="n">
        <v>50743</v>
      </c>
      <c r="C140" s="0" t="n">
        <v>4</v>
      </c>
      <c r="D140" s="0" t="n">
        <v>0.5</v>
      </c>
      <c r="E140" s="0" t="n">
        <f aca="false">C140*D140</f>
        <v>2</v>
      </c>
      <c r="F140" s="115" t="n">
        <f aca="false">E140*B140</f>
        <v>101486</v>
      </c>
    </row>
    <row r="141" customFormat="false" ht="15" hidden="false" customHeight="false" outlineLevel="0" collapsed="false">
      <c r="A141" s="0" t="s">
        <v>366</v>
      </c>
      <c r="B141" s="115" t="n">
        <v>42286</v>
      </c>
      <c r="C141" s="0" t="n">
        <v>20</v>
      </c>
      <c r="D141" s="0" t="n">
        <v>0.4</v>
      </c>
      <c r="E141" s="0" t="n">
        <f aca="false">C141*D141</f>
        <v>8</v>
      </c>
      <c r="F141" s="115" t="n">
        <f aca="false">E141*B141</f>
        <v>338288</v>
      </c>
      <c r="G141" s="0" t="s">
        <v>483</v>
      </c>
    </row>
    <row r="142" customFormat="false" ht="15" hidden="false" customHeight="false" outlineLevel="0" collapsed="false">
      <c r="A142" s="0" t="s">
        <v>484</v>
      </c>
      <c r="B142" s="115" t="n">
        <v>29600</v>
      </c>
      <c r="C142" s="0" t="n">
        <v>4</v>
      </c>
      <c r="D142" s="0" t="n">
        <v>0.5</v>
      </c>
      <c r="E142" s="0" t="n">
        <f aca="false">C142*D142</f>
        <v>2</v>
      </c>
      <c r="F142" s="115" t="n">
        <f aca="false">E142*B142</f>
        <v>59200</v>
      </c>
    </row>
    <row r="143" customFormat="false" ht="15" hidden="false" customHeight="false" outlineLevel="0" collapsed="false">
      <c r="A143" s="61" t="s">
        <v>485</v>
      </c>
      <c r="B143" s="66" t="n">
        <v>38057</v>
      </c>
      <c r="C143" s="61" t="n">
        <v>3</v>
      </c>
      <c r="D143" s="149" t="n">
        <v>0.666666667</v>
      </c>
      <c r="E143" s="149" t="n">
        <f aca="false">C143*D143</f>
        <v>2.000000001</v>
      </c>
      <c r="F143" s="66" t="n">
        <f aca="false">E143*B143</f>
        <v>76114.000038057</v>
      </c>
    </row>
    <row r="144" customFormat="false" ht="15" hidden="false" customHeight="false" outlineLevel="0" collapsed="false">
      <c r="A144" s="0" t="s">
        <v>367</v>
      </c>
      <c r="F144" s="115" t="n">
        <f aca="false">SUM(F134:F143)</f>
        <v>1177660.99986891</v>
      </c>
    </row>
    <row r="145" customFormat="false" ht="15" hidden="false" customHeight="false" outlineLevel="0" collapsed="false">
      <c r="A145" s="119" t="s">
        <v>368</v>
      </c>
      <c r="B145" s="119"/>
      <c r="C145" s="119"/>
      <c r="D145" s="119"/>
      <c r="E145" s="119"/>
      <c r="F145" s="150" t="n">
        <f aca="false">0.9*F144</f>
        <v>1059894.89988202</v>
      </c>
      <c r="G145" s="119"/>
      <c r="H145" s="119"/>
      <c r="I145" s="119"/>
      <c r="J145" s="119"/>
    </row>
    <row r="147" customFormat="false" ht="15" hidden="false" customHeight="false" outlineLevel="0" collapsed="false">
      <c r="A147" s="14" t="s">
        <v>486</v>
      </c>
      <c r="B147" s="151"/>
      <c r="C147" s="16"/>
      <c r="D147" s="16"/>
      <c r="E147" s="16"/>
      <c r="F147" s="16"/>
      <c r="G147" s="16"/>
      <c r="H147" s="16"/>
      <c r="I147" s="16"/>
      <c r="J147" s="16"/>
    </row>
    <row r="148" customFormat="false" ht="15" hidden="false" customHeight="false" outlineLevel="0" collapsed="false">
      <c r="A148" s="0" t="s">
        <v>369</v>
      </c>
      <c r="B148" s="152" t="n">
        <f aca="false">D148/100*(B66+B92+B98)</f>
        <v>5967724.14481536</v>
      </c>
      <c r="C148" s="73" t="s">
        <v>354</v>
      </c>
      <c r="D148" s="0" t="n">
        <v>3</v>
      </c>
      <c r="E148" s="0" t="s">
        <v>370</v>
      </c>
    </row>
    <row r="149" customFormat="false" ht="15" hidden="false" customHeight="false" outlineLevel="0" collapsed="false">
      <c r="A149" s="0" t="s">
        <v>371</v>
      </c>
      <c r="B149" s="115" t="n">
        <f aca="false">D149/100*C121</f>
        <v>2996179.03474905</v>
      </c>
      <c r="C149" s="73" t="s">
        <v>354</v>
      </c>
      <c r="D149" s="0" t="n">
        <v>0.7</v>
      </c>
      <c r="E149" s="0" t="s">
        <v>350</v>
      </c>
    </row>
    <row r="150" customFormat="false" ht="15" hidden="false" customHeight="false" outlineLevel="0" collapsed="false">
      <c r="A150" s="1"/>
    </row>
    <row r="151" customFormat="false" ht="15" hidden="false" customHeight="false" outlineLevel="0" collapsed="false">
      <c r="A151" s="107" t="s">
        <v>372</v>
      </c>
      <c r="B151" s="115" t="n">
        <f aca="false">SUM(B148:B149)+SUM(F144:F145)</f>
        <v>11201459.0793153</v>
      </c>
      <c r="C151" s="148" t="s">
        <v>354</v>
      </c>
    </row>
    <row r="153" s="13" customFormat="true" ht="15" hidden="false" customHeight="false" outlineLevel="0" collapsed="false"/>
    <row r="154" s="112" customFormat="true" ht="15" hidden="false" customHeight="false" outlineLevel="0" collapsed="false">
      <c r="A154" s="107" t="s">
        <v>373</v>
      </c>
    </row>
    <row r="156" customFormat="false" ht="15" hidden="false" customHeight="false" outlineLevel="0" collapsed="false">
      <c r="A156" s="14" t="s">
        <v>374</v>
      </c>
      <c r="B156" s="16"/>
      <c r="C156" s="16"/>
      <c r="D156" s="16"/>
      <c r="E156" s="16"/>
      <c r="F156" s="16"/>
      <c r="G156" s="16"/>
      <c r="H156" s="16"/>
      <c r="I156" s="16"/>
      <c r="J156" s="16"/>
    </row>
    <row r="157" customFormat="false" ht="15" hidden="false" customHeight="false" outlineLevel="0" collapsed="false">
      <c r="A157" s="0" t="s">
        <v>351</v>
      </c>
      <c r="B157" s="115" t="n">
        <v>459800000</v>
      </c>
      <c r="C157" s="148" t="s">
        <v>352</v>
      </c>
    </row>
    <row r="158" customFormat="false" ht="15" hidden="false" customHeight="false" outlineLevel="0" collapsed="false">
      <c r="A158" s="0" t="s">
        <v>375</v>
      </c>
      <c r="B158" s="115" t="n">
        <v>14500000</v>
      </c>
      <c r="C158" s="73" t="s">
        <v>354</v>
      </c>
    </row>
    <row r="159" customFormat="false" ht="15" hidden="false" customHeight="false" outlineLevel="0" collapsed="false">
      <c r="A159" s="0" t="s">
        <v>376</v>
      </c>
      <c r="B159" s="115" t="n">
        <v>8300000</v>
      </c>
      <c r="C159" s="73" t="s">
        <v>354</v>
      </c>
    </row>
    <row r="160" customFormat="false" ht="15" hidden="false" customHeight="false" outlineLevel="0" collapsed="false">
      <c r="A160" s="0" t="s">
        <v>377</v>
      </c>
      <c r="B160" s="115" t="n">
        <v>39300000</v>
      </c>
      <c r="C160" s="73" t="s">
        <v>354</v>
      </c>
    </row>
    <row r="161" customFormat="false" ht="15" hidden="false" customHeight="false" outlineLevel="0" collapsed="false">
      <c r="A161" s="1" t="s">
        <v>208</v>
      </c>
      <c r="B161" s="153" t="n">
        <f aca="false">(B158+B159+B160)/B157</f>
        <v>0.135058721183123</v>
      </c>
    </row>
    <row r="163" customFormat="false" ht="15" hidden="false" customHeight="false" outlineLevel="0" collapsed="false">
      <c r="A163" s="14" t="s">
        <v>379</v>
      </c>
      <c r="B163" s="123"/>
      <c r="C163" s="123"/>
      <c r="D163" s="123"/>
      <c r="E163" s="123"/>
      <c r="F163" s="123"/>
      <c r="G163" s="123"/>
      <c r="H163" s="123"/>
      <c r="I163" s="123"/>
      <c r="J163" s="123"/>
    </row>
    <row r="164" customFormat="false" ht="15" hidden="false" customHeight="false" outlineLevel="0" collapsed="false">
      <c r="A164" s="0" t="s">
        <v>351</v>
      </c>
      <c r="B164" s="115" t="n">
        <f aca="false">B125</f>
        <v>451226855.212358</v>
      </c>
      <c r="C164" s="148" t="s">
        <v>352</v>
      </c>
    </row>
    <row r="165" customFormat="false" ht="15" hidden="false" customHeight="false" outlineLevel="0" collapsed="false">
      <c r="A165" s="0" t="s">
        <v>375</v>
      </c>
      <c r="B165" s="115" t="n">
        <f aca="false">ROUND(C121/30,-5)</f>
        <v>14300000</v>
      </c>
      <c r="C165" s="73" t="s">
        <v>354</v>
      </c>
    </row>
    <row r="166" customFormat="false" ht="15" hidden="false" customHeight="false" outlineLevel="0" collapsed="false">
      <c r="A166" s="0" t="s">
        <v>380</v>
      </c>
      <c r="B166" s="115" t="n">
        <f aca="false">B161*B164-B165</f>
        <v>46642122.0284632</v>
      </c>
      <c r="C166" s="73" t="s">
        <v>354</v>
      </c>
    </row>
  </sheetData>
  <hyperlinks>
    <hyperlink ref="A2" r:id="rId1" display="http://www.nrel.gov/docs/fy14osti/62368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:E79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1" zoomScaleNormal="101" zoomScalePageLayoutView="100" workbookViewId="0">
      <selection pane="topLeft" activeCell="G59" activeCellId="1" sqref="M57:AC68 G59"/>
    </sheetView>
  </sheetViews>
  <sheetFormatPr defaultRowHeight="15"/>
  <cols>
    <col collapsed="false" hidden="false" max="1" min="1" style="0" width="42.7908163265306"/>
    <col collapsed="false" hidden="false" max="2" min="2" style="0" width="15.1173469387755"/>
    <col collapsed="false" hidden="false" max="3" min="3" style="0" width="9.98979591836735"/>
    <col collapsed="false" hidden="false" max="1025" min="4" style="0" width="11.2040816326531"/>
  </cols>
  <sheetData>
    <row r="1" customFormat="false" ht="26.25" hidden="false" customHeight="false" outlineLevel="0" collapsed="false">
      <c r="A1" s="8" t="s">
        <v>528</v>
      </c>
    </row>
    <row r="2" customFormat="false" ht="15" hidden="false" customHeight="false" outlineLevel="0" collapsed="false">
      <c r="A2" s="0" t="s">
        <v>382</v>
      </c>
    </row>
    <row r="4" customFormat="false" ht="15" hidden="false" customHeight="false" outlineLevel="0" collapsed="false">
      <c r="A4" s="0" t="s">
        <v>529</v>
      </c>
    </row>
    <row r="5" customFormat="false" ht="15" hidden="false" customHeight="false" outlineLevel="0" collapsed="false">
      <c r="A5" s="0" t="s">
        <v>530</v>
      </c>
    </row>
    <row r="7" customFormat="false" ht="15" hidden="false" customHeight="false" outlineLevel="0" collapsed="false">
      <c r="A7" s="11" t="s">
        <v>111</v>
      </c>
      <c r="B7" s="12" t="s">
        <v>531</v>
      </c>
    </row>
    <row r="8" customFormat="false" ht="15" hidden="false" customHeight="false" outlineLevel="0" collapsed="false">
      <c r="A8" s="0" t="s">
        <v>15</v>
      </c>
      <c r="B8" s="0" t="s">
        <v>532</v>
      </c>
    </row>
    <row r="9" s="13" customFormat="true" ht="15" hidden="false" customHeight="false" outlineLevel="0" collapsed="false"/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1" customFormat="false" ht="15" hidden="false" customHeight="false" outlineLevel="0" collapsed="false">
      <c r="B11" s="60" t="s">
        <v>114</v>
      </c>
      <c r="C11" s="1" t="s">
        <v>388</v>
      </c>
    </row>
    <row r="12" customFormat="false" ht="15" hidden="false" customHeight="false" outlineLevel="0" collapsed="false">
      <c r="A12" s="0" t="s">
        <v>533</v>
      </c>
      <c r="B12" s="1"/>
      <c r="C12" s="156" t="n">
        <f aca="false">B77/B76</f>
        <v>1.16792929292929</v>
      </c>
    </row>
    <row r="13" customFormat="false" ht="15" hidden="false" customHeight="false" outlineLevel="0" collapsed="false">
      <c r="A13" s="0" t="s">
        <v>286</v>
      </c>
      <c r="B13" s="1"/>
      <c r="C13" s="157" t="n">
        <f aca="false">B64/B76</f>
        <v>0</v>
      </c>
    </row>
    <row r="14" customFormat="false" ht="15" hidden="false" customHeight="false" outlineLevel="0" collapsed="false">
      <c r="A14" s="0" t="s">
        <v>290</v>
      </c>
      <c r="B14" s="1"/>
      <c r="C14" s="157" t="n">
        <f aca="false">B61/B76</f>
        <v>0</v>
      </c>
    </row>
    <row r="15" customFormat="false" ht="15" hidden="false" customHeight="false" outlineLevel="0" collapsed="false">
      <c r="A15" s="16" t="s">
        <v>396</v>
      </c>
      <c r="B15" s="1"/>
      <c r="C15" s="153" t="n">
        <f aca="false">SUM(C16:C19)</f>
        <v>0.791278289423435</v>
      </c>
    </row>
    <row r="16" customFormat="false" ht="15" hidden="false" customHeight="false" outlineLevel="0" collapsed="false">
      <c r="A16" s="0" t="s">
        <v>295</v>
      </c>
      <c r="C16" s="153" t="n">
        <f aca="false">B46/B79/B76</f>
        <v>0.628018498767184</v>
      </c>
    </row>
    <row r="17" customFormat="false" ht="15" hidden="false" customHeight="false" outlineLevel="0" collapsed="false">
      <c r="A17" s="0" t="s">
        <v>297</v>
      </c>
      <c r="C17" s="153" t="n">
        <f aca="false">B58/B79/B76</f>
        <v>0.0238723739426466</v>
      </c>
    </row>
    <row r="18" customFormat="false" ht="15" hidden="false" customHeight="false" outlineLevel="0" collapsed="false">
      <c r="A18" s="0" t="s">
        <v>298</v>
      </c>
      <c r="C18" s="153" t="n">
        <f aca="false">B38/B79/B76</f>
        <v>0.0327635122982576</v>
      </c>
    </row>
    <row r="19" customFormat="false" ht="15" hidden="false" customHeight="false" outlineLevel="0" collapsed="false">
      <c r="A19" s="0" t="s">
        <v>299</v>
      </c>
      <c r="C19" s="153" t="n">
        <f aca="false">B39/B79/B76</f>
        <v>0.106623904415347</v>
      </c>
    </row>
    <row r="20" s="160" customFormat="true" ht="15" hidden="false" customHeight="false" outlineLevel="0" collapsed="false">
      <c r="A20" s="158"/>
      <c r="B20" s="159"/>
      <c r="C20" s="159"/>
      <c r="E20" s="159"/>
    </row>
    <row r="21" customFormat="false" ht="15" hidden="false" customHeight="false" outlineLevel="0" collapsed="false">
      <c r="A21" s="107" t="s">
        <v>534</v>
      </c>
    </row>
    <row r="22" customFormat="false" ht="15" hidden="false" customHeight="false" outlineLevel="0" collapsed="false">
      <c r="A22" s="0" t="s">
        <v>535</v>
      </c>
      <c r="B22" s="135" t="n">
        <v>10000</v>
      </c>
      <c r="C22" s="0" t="s">
        <v>536</v>
      </c>
    </row>
    <row r="23" customFormat="false" ht="15" hidden="false" customHeight="false" outlineLevel="0" collapsed="false">
      <c r="A23" s="0" t="s">
        <v>537</v>
      </c>
      <c r="B23" s="115" t="n">
        <f aca="false">38.6*10^6</f>
        <v>38600000</v>
      </c>
      <c r="C23" s="138" t="s">
        <v>352</v>
      </c>
    </row>
    <row r="24" customFormat="false" ht="15" hidden="false" customHeight="false" outlineLevel="0" collapsed="false">
      <c r="B24" s="115"/>
      <c r="C24" s="138"/>
    </row>
    <row r="25" customFormat="false" ht="15" hidden="false" customHeight="false" outlineLevel="0" collapsed="false">
      <c r="A25" s="0" t="s">
        <v>338</v>
      </c>
      <c r="B25" s="0" t="s">
        <v>339</v>
      </c>
      <c r="C25" s="138"/>
    </row>
    <row r="26" customFormat="false" ht="15" hidden="false" customHeight="false" outlineLevel="0" collapsed="false">
      <c r="A26" s="0" t="s">
        <v>341</v>
      </c>
      <c r="B26" s="0" t="n">
        <v>10</v>
      </c>
      <c r="C26" s="161" t="n">
        <f aca="false">$B$23*B26/100</f>
        <v>3860000</v>
      </c>
      <c r="D26" s="138"/>
    </row>
    <row r="27" customFormat="false" ht="15" hidden="false" customHeight="false" outlineLevel="0" collapsed="false">
      <c r="A27" s="0" t="s">
        <v>342</v>
      </c>
      <c r="B27" s="0" t="n">
        <v>10</v>
      </c>
      <c r="C27" s="161" t="n">
        <f aca="false">$B$23*B27/100</f>
        <v>3860000</v>
      </c>
      <c r="D27" s="138"/>
    </row>
    <row r="28" customFormat="false" ht="15" hidden="false" customHeight="false" outlineLevel="0" collapsed="false">
      <c r="A28" s="0" t="s">
        <v>343</v>
      </c>
      <c r="B28" s="0" t="n">
        <v>20</v>
      </c>
      <c r="C28" s="161" t="n">
        <f aca="false">$B$23*B28/100</f>
        <v>7720000</v>
      </c>
      <c r="D28" s="138"/>
    </row>
    <row r="29" customFormat="false" ht="15" hidden="false" customHeight="false" outlineLevel="0" collapsed="false">
      <c r="A29" s="0" t="s">
        <v>344</v>
      </c>
      <c r="B29" s="0" t="n">
        <v>10</v>
      </c>
      <c r="C29" s="161" t="n">
        <f aca="false">$B$23*B29/100</f>
        <v>3860000</v>
      </c>
      <c r="D29" s="138"/>
    </row>
    <row r="30" customFormat="false" ht="15" hidden="false" customHeight="false" outlineLevel="0" collapsed="false">
      <c r="A30" s="0" t="s">
        <v>345</v>
      </c>
      <c r="B30" s="0" t="n">
        <v>10</v>
      </c>
      <c r="C30" s="161" t="n">
        <f aca="false">$B$23*B30/100</f>
        <v>3860000</v>
      </c>
      <c r="D30" s="138"/>
    </row>
    <row r="31" customFormat="false" ht="15" hidden="false" customHeight="false" outlineLevel="0" collapsed="false">
      <c r="B31" s="115"/>
      <c r="C31" s="138"/>
    </row>
    <row r="32" customFormat="false" ht="15" hidden="false" customHeight="false" outlineLevel="0" collapsed="false">
      <c r="A32" s="0" t="s">
        <v>346</v>
      </c>
      <c r="B32" s="115" t="n">
        <f aca="false">SUM(C26:C30)</f>
        <v>23160000</v>
      </c>
      <c r="C32" s="138" t="s">
        <v>352</v>
      </c>
    </row>
    <row r="33" customFormat="false" ht="15" hidden="false" customHeight="false" outlineLevel="0" collapsed="false">
      <c r="A33" s="0" t="s">
        <v>347</v>
      </c>
      <c r="B33" s="115" t="n">
        <f aca="false">B32+B23</f>
        <v>61760000</v>
      </c>
      <c r="C33" s="138" t="s">
        <v>352</v>
      </c>
    </row>
    <row r="34" customFormat="false" ht="15" hidden="false" customHeight="false" outlineLevel="0" collapsed="false">
      <c r="A34" s="0" t="s">
        <v>349</v>
      </c>
      <c r="B34" s="115" t="n">
        <f aca="false">0.05*B33</f>
        <v>3088000</v>
      </c>
      <c r="C34" s="138" t="s">
        <v>352</v>
      </c>
    </row>
    <row r="35" customFormat="false" ht="15" hidden="false" customHeight="false" outlineLevel="0" collapsed="false">
      <c r="A35" s="0" t="s">
        <v>538</v>
      </c>
      <c r="B35" s="162" t="n">
        <f aca="false">WE!B151</f>
        <v>0.135058721183123</v>
      </c>
      <c r="C35" s="138" t="s">
        <v>306</v>
      </c>
      <c r="D35" s="0" t="s">
        <v>539</v>
      </c>
    </row>
    <row r="36" customFormat="false" ht="15" hidden="false" customHeight="false" outlineLevel="0" collapsed="false">
      <c r="B36" s="115"/>
      <c r="C36" s="138"/>
    </row>
    <row r="37" customFormat="false" ht="15" hidden="false" customHeight="false" outlineLevel="0" collapsed="false">
      <c r="A37" s="73" t="s">
        <v>351</v>
      </c>
      <c r="B37" s="115" t="n">
        <f aca="false">B33+B34</f>
        <v>64848000</v>
      </c>
      <c r="C37" s="138" t="s">
        <v>352</v>
      </c>
      <c r="D37" s="0" t="s">
        <v>540</v>
      </c>
    </row>
    <row r="38" customFormat="false" ht="15" hidden="false" customHeight="false" outlineLevel="0" collapsed="false">
      <c r="A38" s="73" t="s">
        <v>375</v>
      </c>
      <c r="B38" s="115" t="n">
        <f aca="false">ROUND(B33/30,0)</f>
        <v>2058667</v>
      </c>
      <c r="C38" s="138" t="s">
        <v>354</v>
      </c>
    </row>
    <row r="39" customFormat="false" ht="15" hidden="false" customHeight="false" outlineLevel="0" collapsed="false">
      <c r="A39" s="73" t="s">
        <v>541</v>
      </c>
      <c r="B39" s="115" t="n">
        <f aca="false">B35*B37-B38</f>
        <v>6699620.95128317</v>
      </c>
      <c r="C39" s="138" t="s">
        <v>354</v>
      </c>
    </row>
    <row r="41" customFormat="false" ht="15" hidden="false" customHeight="false" outlineLevel="0" collapsed="false">
      <c r="A41" s="107" t="s">
        <v>542</v>
      </c>
    </row>
    <row r="42" customFormat="false" ht="15" hidden="false" customHeight="false" outlineLevel="0" collapsed="false">
      <c r="A42" s="0" t="s">
        <v>543</v>
      </c>
      <c r="B42" s="115" t="n">
        <f aca="false">28147*1000</f>
        <v>28147000</v>
      </c>
      <c r="C42" s="0" t="s">
        <v>354</v>
      </c>
    </row>
    <row r="43" customFormat="false" ht="15" hidden="false" customHeight="false" outlineLevel="0" collapsed="false">
      <c r="A43" s="0" t="s">
        <v>544</v>
      </c>
      <c r="B43" s="115" t="n">
        <f aca="false">13797*1000</f>
        <v>13797000</v>
      </c>
      <c r="C43" s="0" t="s">
        <v>354</v>
      </c>
    </row>
    <row r="44" customFormat="false" ht="15" hidden="false" customHeight="false" outlineLevel="0" collapsed="false">
      <c r="A44" s="0" t="s">
        <v>545</v>
      </c>
      <c r="B44" s="115" t="n">
        <f aca="false">-271*1000</f>
        <v>-271000</v>
      </c>
      <c r="C44" s="0" t="s">
        <v>354</v>
      </c>
    </row>
    <row r="45" customFormat="false" ht="15" hidden="false" customHeight="false" outlineLevel="0" collapsed="false">
      <c r="A45" s="0" t="s">
        <v>546</v>
      </c>
      <c r="B45" s="115" t="n">
        <f aca="false">-B48/B49*B50</f>
        <v>-2212000</v>
      </c>
      <c r="C45" s="0" t="s">
        <v>354</v>
      </c>
    </row>
    <row r="46" customFormat="false" ht="15" hidden="false" customHeight="false" outlineLevel="0" collapsed="false">
      <c r="A46" s="0" t="s">
        <v>197</v>
      </c>
      <c r="B46" s="161" t="n">
        <f aca="false">SUM(B42:B45)</f>
        <v>39461000</v>
      </c>
      <c r="C46" s="0" t="s">
        <v>354</v>
      </c>
    </row>
    <row r="48" customFormat="false" ht="15" hidden="false" customHeight="false" outlineLevel="0" collapsed="false">
      <c r="A48" s="0" t="s">
        <v>547</v>
      </c>
      <c r="B48" s="0" t="n">
        <f aca="false">22120*1000</f>
        <v>22120000</v>
      </c>
      <c r="C48" s="0" t="s">
        <v>324</v>
      </c>
    </row>
    <row r="49" customFormat="false" ht="15" hidden="false" customHeight="false" outlineLevel="0" collapsed="false">
      <c r="A49" s="0" t="s">
        <v>548</v>
      </c>
      <c r="B49" s="0" t="n">
        <v>30</v>
      </c>
      <c r="C49" s="0" t="s">
        <v>463</v>
      </c>
    </row>
    <row r="50" customFormat="false" ht="15" hidden="false" customHeight="false" outlineLevel="0" collapsed="false">
      <c r="A50" s="0" t="s">
        <v>549</v>
      </c>
      <c r="B50" s="0" t="n">
        <v>3</v>
      </c>
      <c r="C50" s="0" t="s">
        <v>463</v>
      </c>
    </row>
    <row r="52" customFormat="false" ht="15" hidden="false" customHeight="false" outlineLevel="0" collapsed="false">
      <c r="A52" s="0" t="s">
        <v>550</v>
      </c>
      <c r="B52" s="0" t="n">
        <v>0.68</v>
      </c>
      <c r="C52" s="0" t="s">
        <v>463</v>
      </c>
    </row>
    <row r="53" customFormat="false" ht="15" hidden="false" customHeight="false" outlineLevel="0" collapsed="false">
      <c r="A53" s="0" t="s">
        <v>551</v>
      </c>
      <c r="B53" s="163" t="n">
        <f aca="false">B42/B52*B74</f>
        <v>18775704.7058824</v>
      </c>
      <c r="C53" s="0" t="s">
        <v>461</v>
      </c>
    </row>
    <row r="55" customFormat="false" ht="15" hidden="false" customHeight="false" outlineLevel="0" collapsed="false">
      <c r="A55" s="107" t="s">
        <v>552</v>
      </c>
    </row>
    <row r="56" customFormat="false" ht="15" hidden="false" customHeight="false" outlineLevel="0" collapsed="false">
      <c r="A56" s="0" t="s">
        <v>553</v>
      </c>
      <c r="B56" s="0" t="n">
        <v>5</v>
      </c>
    </row>
    <row r="57" customFormat="false" ht="15" hidden="false" customHeight="false" outlineLevel="0" collapsed="false">
      <c r="A57" s="0" t="s">
        <v>554</v>
      </c>
      <c r="B57" s="161" t="n">
        <f aca="false">300*1000</f>
        <v>300000</v>
      </c>
      <c r="C57" s="0" t="s">
        <v>354</v>
      </c>
    </row>
    <row r="58" customFormat="false" ht="15" hidden="false" customHeight="false" outlineLevel="0" collapsed="false">
      <c r="A58" s="0" t="s">
        <v>197</v>
      </c>
      <c r="B58" s="161" t="n">
        <f aca="false">B56*B57</f>
        <v>1500000</v>
      </c>
      <c r="C58" s="0" t="s">
        <v>354</v>
      </c>
    </row>
    <row r="60" customFormat="false" ht="15" hidden="false" customHeight="false" outlineLevel="0" collapsed="false">
      <c r="A60" s="107" t="s">
        <v>555</v>
      </c>
    </row>
    <row r="61" customFormat="false" ht="15" hidden="false" customHeight="false" outlineLevel="0" collapsed="false">
      <c r="A61" s="0" t="s">
        <v>556</v>
      </c>
      <c r="B61" s="0" t="n">
        <v>0</v>
      </c>
      <c r="C61" s="0" t="s">
        <v>326</v>
      </c>
    </row>
    <row r="63" customFormat="false" ht="15" hidden="false" customHeight="false" outlineLevel="0" collapsed="false">
      <c r="A63" s="107" t="s">
        <v>557</v>
      </c>
    </row>
    <row r="64" customFormat="false" ht="15" hidden="false" customHeight="false" outlineLevel="0" collapsed="false">
      <c r="A64" s="0" t="s">
        <v>558</v>
      </c>
      <c r="B64" s="0" t="n">
        <v>0</v>
      </c>
      <c r="C64" s="0" t="s">
        <v>326</v>
      </c>
    </row>
    <row r="66" s="160" customFormat="true" ht="15" hidden="false" customHeight="false" outlineLevel="0" collapsed="false">
      <c r="A66" s="158"/>
      <c r="B66" s="159"/>
      <c r="C66" s="159"/>
      <c r="E66" s="159"/>
    </row>
    <row r="67" customFormat="false" ht="15" hidden="false" customHeight="false" outlineLevel="0" collapsed="false">
      <c r="A67" s="107" t="s">
        <v>559</v>
      </c>
    </row>
    <row r="68" customFormat="false" ht="15" hidden="false" customHeight="false" outlineLevel="0" collapsed="false">
      <c r="A68" s="0" t="s">
        <v>560</v>
      </c>
      <c r="B68" s="0" t="n">
        <v>158.99</v>
      </c>
      <c r="C68" s="0" t="s">
        <v>561</v>
      </c>
    </row>
    <row r="69" customFormat="false" ht="15" hidden="false" customHeight="false" outlineLevel="0" collapsed="false">
      <c r="A69" s="0" t="s">
        <v>562</v>
      </c>
      <c r="B69" s="0" t="n">
        <v>44</v>
      </c>
      <c r="C69" s="0" t="s">
        <v>563</v>
      </c>
      <c r="D69" s="0" t="s">
        <v>564</v>
      </c>
    </row>
    <row r="70" customFormat="false" ht="15" hidden="false" customHeight="false" outlineLevel="0" collapsed="false">
      <c r="A70" s="0" t="s">
        <v>565</v>
      </c>
      <c r="B70" s="0" t="n">
        <v>0.83</v>
      </c>
      <c r="C70" s="0" t="s">
        <v>566</v>
      </c>
      <c r="D70" s="0" t="s">
        <v>564</v>
      </c>
    </row>
    <row r="71" customFormat="false" ht="15" hidden="false" customHeight="false" outlineLevel="0" collapsed="false">
      <c r="A71" s="0" t="s">
        <v>567</v>
      </c>
      <c r="B71" s="0" t="n">
        <f aca="false">WE!B33</f>
        <v>37</v>
      </c>
      <c r="C71" s="0" t="s">
        <v>563</v>
      </c>
    </row>
    <row r="72" customFormat="false" ht="15" hidden="false" customHeight="false" outlineLevel="0" collapsed="false">
      <c r="A72" s="0" t="s">
        <v>568</v>
      </c>
      <c r="B72" s="0" t="n">
        <v>0.72</v>
      </c>
      <c r="C72" s="0" t="s">
        <v>569</v>
      </c>
    </row>
    <row r="73" customFormat="false" ht="15" hidden="false" customHeight="false" outlineLevel="0" collapsed="false">
      <c r="A73" s="0" t="s">
        <v>305</v>
      </c>
      <c r="B73" s="0" t="n">
        <v>0.9</v>
      </c>
      <c r="C73" s="0" t="s">
        <v>306</v>
      </c>
    </row>
    <row r="74" customFormat="false" ht="15" hidden="false" customHeight="false" outlineLevel="0" collapsed="false">
      <c r="A74" s="0" t="s">
        <v>570</v>
      </c>
      <c r="B74" s="0" t="n">
        <v>0.4536</v>
      </c>
      <c r="C74" s="0" t="s">
        <v>571</v>
      </c>
    </row>
    <row r="76" customFormat="false" ht="15" hidden="false" customHeight="false" outlineLevel="0" collapsed="false">
      <c r="A76" s="0" t="s">
        <v>572</v>
      </c>
      <c r="B76" s="163" t="n">
        <f aca="false">B22*365*B73*B68*B70*B69/1000</f>
        <v>19073744.118</v>
      </c>
      <c r="C76" s="0" t="s">
        <v>326</v>
      </c>
    </row>
    <row r="77" customFormat="false" ht="15" hidden="false" customHeight="false" outlineLevel="0" collapsed="false">
      <c r="A77" s="0" t="s">
        <v>573</v>
      </c>
      <c r="B77" s="163" t="n">
        <f aca="false">B22*365*B73*B68*B70/B72*B71/1000</f>
        <v>22276784.48125</v>
      </c>
      <c r="C77" s="0" t="s">
        <v>326</v>
      </c>
    </row>
    <row r="79" customFormat="false" ht="15" hidden="false" customHeight="false" outlineLevel="0" collapsed="false">
      <c r="A79" s="0" t="s">
        <v>574</v>
      </c>
      <c r="B79" s="0" t="n">
        <f aca="false">WE!B26</f>
        <v>3.29427384524826</v>
      </c>
      <c r="C79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M57:AC68 B16"/>
    </sheetView>
  </sheetViews>
  <sheetFormatPr defaultRowHeight="15"/>
  <cols>
    <col collapsed="false" hidden="false" max="1" min="1" style="18" width="31.4540816326531"/>
    <col collapsed="false" hidden="false" max="2" min="2" style="18" width="20.7908163265306"/>
    <col collapsed="false" hidden="false" max="3" min="3" style="18" width="8.23469387755102"/>
    <col collapsed="false" hidden="false" max="4" min="4" style="18" width="16.0663265306122"/>
    <col collapsed="false" hidden="false" max="9" min="5" style="18" width="8.63775510204082"/>
    <col collapsed="false" hidden="false" max="10" min="10" style="18" width="16.0663265306122"/>
    <col collapsed="false" hidden="false" max="1025" min="11" style="18" width="8.63775510204082"/>
  </cols>
  <sheetData>
    <row r="1" customFormat="false" ht="25.5" hidden="false" customHeight="true" outlineLevel="0" collapsed="false">
      <c r="A1" s="164" t="s">
        <v>575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576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 t="s">
        <v>577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 t="s">
        <v>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7" customFormat="false" ht="15" hidden="false" customHeight="false" outlineLevel="0" collapsed="false">
      <c r="A7" s="11" t="s">
        <v>111</v>
      </c>
      <c r="B7" s="12" t="s">
        <v>579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 t="s">
        <v>15</v>
      </c>
      <c r="B8" s="0" t="s">
        <v>580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65" customFormat="true" ht="15" hidden="false" customHeight="false" outlineLevel="0" collapsed="false">
      <c r="A9" s="13"/>
      <c r="B9" s="13"/>
      <c r="C9" s="13"/>
      <c r="D9" s="13"/>
      <c r="H9" s="13"/>
    </row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1" s="61" customFormat="true" ht="15" hidden="false" customHeight="false" outlineLevel="0" collapsed="false">
      <c r="B11" s="60" t="s">
        <v>114</v>
      </c>
      <c r="C11" s="1" t="s">
        <v>388</v>
      </c>
      <c r="E11" s="166"/>
    </row>
    <row r="12" s="61" customFormat="true" ht="15" hidden="false" customHeight="false" outlineLevel="0" collapsed="false">
      <c r="A12" s="61" t="s">
        <v>283</v>
      </c>
      <c r="B12" s="61" t="s">
        <v>581</v>
      </c>
      <c r="C12" s="167" t="n">
        <f aca="false">B39</f>
        <v>42.8837458259857</v>
      </c>
      <c r="D12" s="61" t="s">
        <v>285</v>
      </c>
      <c r="E12" s="166"/>
    </row>
    <row r="13" s="61" customFormat="true" ht="15" hidden="false" customHeight="false" outlineLevel="0" collapsed="false">
      <c r="A13" s="61" t="s">
        <v>286</v>
      </c>
      <c r="B13" s="61" t="s">
        <v>582</v>
      </c>
      <c r="C13" s="94" t="n">
        <f aca="false">B70</f>
        <v>0.146838990005512</v>
      </c>
      <c r="D13" s="61" t="s">
        <v>285</v>
      </c>
      <c r="E13" s="166"/>
    </row>
    <row r="14" s="61" customFormat="true" ht="15" hidden="false" customHeight="false" outlineLevel="0" collapsed="false">
      <c r="A14" s="61" t="s">
        <v>290</v>
      </c>
      <c r="B14" s="61" t="s">
        <v>583</v>
      </c>
      <c r="C14" s="109" t="n">
        <f aca="false">B78</f>
        <v>0.0165885243000947</v>
      </c>
      <c r="D14" s="61" t="s">
        <v>285</v>
      </c>
      <c r="E14" s="166"/>
    </row>
    <row r="15" s="61" customFormat="true" ht="15" hidden="false" customHeight="false" outlineLevel="0" collapsed="false">
      <c r="A15" s="61" t="s">
        <v>396</v>
      </c>
      <c r="B15" s="61" t="s">
        <v>584</v>
      </c>
      <c r="C15" s="168" t="n">
        <f aca="false">D62</f>
        <v>1.75876418608886</v>
      </c>
      <c r="D15" s="169" t="s">
        <v>294</v>
      </c>
      <c r="E15" s="0"/>
    </row>
    <row r="16" s="61" customFormat="true" ht="15" hidden="false" customHeight="false" outlineLevel="0" collapsed="false">
      <c r="A16" s="166" t="s">
        <v>585</v>
      </c>
      <c r="B16" s="61" t="s">
        <v>586</v>
      </c>
      <c r="C16" s="170" t="n">
        <f aca="false">B84</f>
        <v>0.747972310918356</v>
      </c>
      <c r="D16" s="169" t="s">
        <v>587</v>
      </c>
      <c r="E16" s="61" t="s">
        <v>588</v>
      </c>
    </row>
    <row r="17" s="61" customFormat="true" ht="15" hidden="false" customHeight="false" outlineLevel="0" collapsed="false">
      <c r="A17" s="56" t="s">
        <v>589</v>
      </c>
      <c r="B17" s="56" t="s">
        <v>590</v>
      </c>
      <c r="C17" s="171" t="n">
        <f aca="false">B89</f>
        <v>0.373986155459178</v>
      </c>
      <c r="D17" s="56"/>
      <c r="E17" s="172" t="s">
        <v>296</v>
      </c>
    </row>
    <row r="18" customFormat="false" ht="15" hidden="false" customHeight="false" outlineLevel="0" collapsed="false">
      <c r="A18" s="166" t="s">
        <v>591</v>
      </c>
      <c r="B18" s="166" t="s">
        <v>592</v>
      </c>
      <c r="C18" s="173" t="n">
        <f aca="false">B94</f>
        <v>11.0640064231043</v>
      </c>
      <c r="D18" s="0"/>
      <c r="E18" s="174" t="s">
        <v>296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0" t="s">
        <v>295</v>
      </c>
      <c r="B19" s="0"/>
      <c r="C19" s="132" t="n">
        <f aca="false">D50</f>
        <v>0.275820951692903</v>
      </c>
      <c r="D19" s="0"/>
      <c r="E19" s="174" t="s">
        <v>296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 t="s">
        <v>297</v>
      </c>
      <c r="B20" s="0"/>
      <c r="C20" s="132" t="n">
        <f aca="false">D55</f>
        <v>0.661970284062968</v>
      </c>
      <c r="D20" s="0"/>
      <c r="E20" s="174" t="s">
        <v>296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0" t="s">
        <v>298</v>
      </c>
      <c r="B21" s="0"/>
      <c r="C21" s="132" t="n">
        <f aca="false">D56</f>
        <v>0.483497903555795</v>
      </c>
      <c r="D21" s="0"/>
      <c r="E21" s="174" t="s">
        <v>296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 t="s">
        <v>299</v>
      </c>
      <c r="B22" s="0"/>
      <c r="C22" s="132" t="n">
        <f aca="false">D57+D58</f>
        <v>0.337475046777199</v>
      </c>
      <c r="D22" s="0"/>
      <c r="E22" s="174" t="s">
        <v>296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60" customFormat="true" ht="15" hidden="false" customHeight="false" outlineLevel="0" collapsed="false">
      <c r="A23" s="158"/>
      <c r="B23" s="159"/>
      <c r="C23" s="159"/>
      <c r="E23" s="159"/>
    </row>
    <row r="24" s="16" customFormat="true" ht="15" hidden="false" customHeight="false" outlineLevel="0" collapsed="false">
      <c r="A24" s="14" t="s">
        <v>300</v>
      </c>
      <c r="B24" s="15"/>
      <c r="C24" s="15"/>
      <c r="E24" s="15" t="s">
        <v>117</v>
      </c>
    </row>
    <row r="25" s="61" customFormat="true" ht="15" hidden="false" customHeight="false" outlineLevel="0" collapsed="false">
      <c r="A25" s="60"/>
      <c r="B25" s="169" t="n">
        <v>0.907185</v>
      </c>
      <c r="C25" s="169" t="s">
        <v>593</v>
      </c>
      <c r="E25" s="166"/>
    </row>
    <row r="26" s="61" customFormat="true" ht="15" hidden="false" customHeight="false" outlineLevel="0" collapsed="false">
      <c r="A26" s="60" t="s">
        <v>594</v>
      </c>
      <c r="B26" s="175" t="n">
        <v>884000000</v>
      </c>
      <c r="C26" s="61" t="s">
        <v>595</v>
      </c>
      <c r="E26" s="166"/>
    </row>
    <row r="27" s="61" customFormat="true" ht="15" hidden="false" customHeight="false" outlineLevel="0" collapsed="false">
      <c r="A27" s="60" t="s">
        <v>596</v>
      </c>
      <c r="B27" s="176" t="n">
        <f aca="false">B26*0.000453592</f>
        <v>400975.328</v>
      </c>
      <c r="C27" s="61" t="s">
        <v>597</v>
      </c>
      <c r="E27" s="166"/>
    </row>
    <row r="28" s="61" customFormat="true" ht="15" hidden="false" customHeight="false" outlineLevel="0" collapsed="false">
      <c r="A28" s="60"/>
      <c r="B28" s="169"/>
      <c r="C28" s="169"/>
      <c r="E28" s="166"/>
    </row>
    <row r="29" s="61" customFormat="true" ht="15" hidden="false" customHeight="false" outlineLevel="0" collapsed="false">
      <c r="A29" s="60" t="s">
        <v>598</v>
      </c>
      <c r="B29" s="166" t="n">
        <v>3.7854</v>
      </c>
      <c r="C29" s="166" t="s">
        <v>599</v>
      </c>
      <c r="E29" s="166"/>
    </row>
    <row r="30" s="61" customFormat="true" ht="15" hidden="false" customHeight="false" outlineLevel="0" collapsed="false">
      <c r="A30" s="60" t="s">
        <v>600</v>
      </c>
      <c r="B30" s="18" t="n">
        <v>122</v>
      </c>
      <c r="C30" s="18" t="s">
        <v>601</v>
      </c>
      <c r="E30" s="166"/>
    </row>
    <row r="31" s="61" customFormat="true" ht="15" hidden="false" customHeight="false" outlineLevel="0" collapsed="false">
      <c r="A31" s="60" t="s">
        <v>602</v>
      </c>
      <c r="B31" s="166" t="n">
        <v>25</v>
      </c>
      <c r="C31" s="18" t="s">
        <v>601</v>
      </c>
      <c r="E31" s="166"/>
    </row>
    <row r="32" s="61" customFormat="true" ht="15" hidden="false" customHeight="false" outlineLevel="0" collapsed="false">
      <c r="A32" s="60" t="s">
        <v>600</v>
      </c>
      <c r="B32" s="177" t="n">
        <f aca="false">B30/B25*B29</f>
        <v>509.067940938177</v>
      </c>
      <c r="C32" s="18" t="s">
        <v>603</v>
      </c>
      <c r="E32" s="166"/>
    </row>
    <row r="33" s="61" customFormat="true" ht="15" hidden="false" customHeight="false" outlineLevel="0" collapsed="false">
      <c r="A33" s="60" t="s">
        <v>602</v>
      </c>
      <c r="B33" s="178" t="n">
        <f aca="false">B31/B25*B29</f>
        <v>104.317201011922</v>
      </c>
      <c r="C33" s="18" t="s">
        <v>603</v>
      </c>
      <c r="E33" s="166"/>
    </row>
    <row r="34" s="61" customFormat="true" ht="15" hidden="false" customHeight="false" outlineLevel="0" collapsed="false">
      <c r="A34" s="70" t="s">
        <v>604</v>
      </c>
      <c r="B34" s="169" t="n">
        <v>0.0386</v>
      </c>
      <c r="C34" s="17" t="s">
        <v>605</v>
      </c>
      <c r="E34" s="166"/>
    </row>
    <row r="35" s="61" customFormat="true" ht="15" hidden="false" customHeight="false" outlineLevel="0" collapsed="false">
      <c r="A35" s="0"/>
      <c r="B35" s="149" t="n">
        <f aca="false">B34*B32</f>
        <v>19.6500225202136</v>
      </c>
      <c r="C35" s="17" t="s">
        <v>404</v>
      </c>
      <c r="E35" s="166"/>
    </row>
    <row r="36" s="61" customFormat="true" ht="15" hidden="false" customHeight="false" outlineLevel="0" collapsed="false">
      <c r="A36" s="70" t="s">
        <v>606</v>
      </c>
      <c r="B36" s="166" t="n">
        <v>0.03517</v>
      </c>
      <c r="C36" s="166" t="s">
        <v>605</v>
      </c>
      <c r="E36" s="166"/>
    </row>
    <row r="37" s="61" customFormat="true" ht="15" hidden="false" customHeight="false" outlineLevel="0" collapsed="false">
      <c r="A37" s="60" t="s">
        <v>607</v>
      </c>
      <c r="B37" s="179" t="n">
        <f aca="false">B33*B36</f>
        <v>3.66883595958928</v>
      </c>
      <c r="C37" s="169" t="s">
        <v>608</v>
      </c>
      <c r="E37" s="166"/>
    </row>
    <row r="38" customFormat="false" ht="15" hidden="false" customHeight="false" outlineLevel="0" collapsed="false">
      <c r="A38" s="60" t="s">
        <v>609</v>
      </c>
      <c r="B38" s="149" t="n">
        <f aca="false">B37+B35</f>
        <v>23.3188584798029</v>
      </c>
      <c r="C38" s="61" t="s">
        <v>404</v>
      </c>
      <c r="D38" s="61"/>
      <c r="E38" s="180"/>
      <c r="F38" s="18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5" hidden="false" customHeight="false" outlineLevel="0" collapsed="false">
      <c r="A39" s="60" t="s">
        <v>609</v>
      </c>
      <c r="B39" s="149" t="n">
        <f aca="false">1/B38*1000</f>
        <v>42.8837458259857</v>
      </c>
      <c r="C39" s="169" t="s">
        <v>610</v>
      </c>
      <c r="D39" s="0"/>
      <c r="E39" s="180"/>
      <c r="F39" s="18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customFormat="false" ht="15" hidden="false" customHeight="false" outlineLevel="0" collapsed="false">
      <c r="C40" s="0"/>
      <c r="D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customFormat="false" ht="15" hidden="false" customHeight="false" outlineLevel="0" collapsed="false">
      <c r="A41" s="18" t="s">
        <v>611</v>
      </c>
      <c r="B41" s="181" t="n">
        <v>54000000</v>
      </c>
      <c r="C41" s="169" t="s">
        <v>612</v>
      </c>
      <c r="D41" s="182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customFormat="false" ht="15" hidden="false" customHeight="false" outlineLevel="0" collapsed="false">
      <c r="A42" s="18" t="s">
        <v>613</v>
      </c>
      <c r="B42" s="181" t="n">
        <v>11000000</v>
      </c>
      <c r="C42" s="169" t="s">
        <v>612</v>
      </c>
      <c r="D42" s="182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5" hidden="false" customHeight="false" outlineLevel="0" collapsed="false">
      <c r="A43" s="18" t="s">
        <v>611</v>
      </c>
      <c r="B43" s="181" t="n">
        <f aca="false">B41*B29*B34</f>
        <v>7890287.76</v>
      </c>
      <c r="C43" s="169" t="s">
        <v>614</v>
      </c>
      <c r="D43" s="182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customFormat="false" ht="15" hidden="false" customHeight="false" outlineLevel="0" collapsed="false">
      <c r="A44" s="18" t="s">
        <v>613</v>
      </c>
      <c r="B44" s="183" t="n">
        <f aca="false">B42*B29*B36</f>
        <v>1464457.698</v>
      </c>
      <c r="C44" s="169" t="s">
        <v>614</v>
      </c>
      <c r="D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customFormat="false" ht="15" hidden="false" customHeight="false" outlineLevel="0" collapsed="false">
      <c r="A45" s="18" t="s">
        <v>615</v>
      </c>
      <c r="B45" s="183" t="n">
        <f aca="false">B44+B43</f>
        <v>9354745.458</v>
      </c>
      <c r="C45" s="169" t="s">
        <v>614</v>
      </c>
      <c r="D45" s="184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customFormat="false" ht="15" hidden="false" customHeight="false" outlineLevel="0" collapsed="false">
      <c r="A46" s="0"/>
      <c r="B46" s="0"/>
      <c r="C46" s="0"/>
      <c r="D46" s="0"/>
      <c r="E46" s="185" t="n">
        <v>3.29427384524826</v>
      </c>
      <c r="F46" s="18" t="s">
        <v>616</v>
      </c>
      <c r="G46" s="0"/>
      <c r="H46" s="0"/>
      <c r="I46" s="0"/>
      <c r="J46" s="0"/>
      <c r="K46" s="0"/>
      <c r="L46" s="0"/>
      <c r="M46" s="0"/>
      <c r="N46" s="0"/>
      <c r="O46" s="0"/>
      <c r="P46" s="0"/>
    </row>
    <row r="47" customFormat="false" ht="15" hidden="false" customHeight="false" outlineLevel="0" collapsed="false">
      <c r="A47" s="14" t="s">
        <v>617</v>
      </c>
      <c r="B47" s="186" t="s">
        <v>618</v>
      </c>
      <c r="C47" s="186" t="s">
        <v>619</v>
      </c>
      <c r="D47" s="187" t="s">
        <v>620</v>
      </c>
      <c r="E47" s="188" t="s">
        <v>621</v>
      </c>
      <c r="F47" s="186" t="s">
        <v>622</v>
      </c>
      <c r="G47" s="189"/>
      <c r="H47" s="189"/>
      <c r="I47" s="189"/>
      <c r="J47" s="189"/>
      <c r="K47" s="189"/>
      <c r="L47" s="189"/>
      <c r="M47" s="189"/>
      <c r="N47" s="189"/>
      <c r="O47" s="189"/>
      <c r="P47" s="189"/>
    </row>
    <row r="48" customFormat="false" ht="15" hidden="false" customHeight="false" outlineLevel="0" collapsed="false">
      <c r="A48" s="18" t="s">
        <v>623</v>
      </c>
      <c r="B48" s="115" t="n">
        <v>190000000</v>
      </c>
      <c r="C48" s="190" t="n">
        <v>20.3105472888646</v>
      </c>
      <c r="D48" s="94" t="n">
        <f aca="false">C48/$E$46</f>
        <v>6.1654095084296</v>
      </c>
      <c r="E48" s="191" t="n">
        <f aca="false">TRUE()</f>
        <v>1</v>
      </c>
      <c r="F48" s="18" t="s">
        <v>624</v>
      </c>
      <c r="G48" s="0"/>
      <c r="H48" s="0"/>
      <c r="I48" s="0"/>
      <c r="J48" s="192"/>
      <c r="K48" s="193"/>
    </row>
    <row r="49" customFormat="false" ht="15" hidden="false" customHeight="false" outlineLevel="0" collapsed="false">
      <c r="A49" s="18" t="s">
        <v>625</v>
      </c>
      <c r="B49" s="115" t="n">
        <v>6600000</v>
      </c>
      <c r="C49" s="190" t="n">
        <v>0.705524274244769</v>
      </c>
      <c r="D49" s="94" t="n">
        <f aca="false">C49/$E$46</f>
        <v>0.214166856608607</v>
      </c>
      <c r="E49" s="191" t="n">
        <f aca="false">TRUE()</f>
        <v>1</v>
      </c>
      <c r="F49" s="18" t="s">
        <v>626</v>
      </c>
      <c r="G49" s="0"/>
      <c r="H49" s="0"/>
      <c r="I49" s="0"/>
      <c r="J49" s="192"/>
      <c r="K49" s="193"/>
    </row>
    <row r="50" customFormat="false" ht="15" hidden="false" customHeight="false" outlineLevel="0" collapsed="false">
      <c r="A50" s="18" t="s">
        <v>627</v>
      </c>
      <c r="B50" s="115" t="n">
        <v>8500000</v>
      </c>
      <c r="C50" s="190" t="n">
        <v>0.908629747133415</v>
      </c>
      <c r="D50" s="94" t="n">
        <f aca="false">C50/$E$46</f>
        <v>0.275820951692903</v>
      </c>
      <c r="E50" s="191" t="n">
        <f aca="false">FALSE()</f>
        <v>0</v>
      </c>
      <c r="F50" s="0"/>
      <c r="G50" s="0"/>
      <c r="H50" s="0"/>
      <c r="I50" s="0"/>
      <c r="J50" s="192"/>
      <c r="K50" s="193"/>
    </row>
    <row r="51" customFormat="false" ht="15" hidden="false" customHeight="false" outlineLevel="0" collapsed="false">
      <c r="A51" s="18" t="s">
        <v>628</v>
      </c>
      <c r="B51" s="115" t="n">
        <v>0</v>
      </c>
      <c r="C51" s="190" t="n">
        <v>0</v>
      </c>
      <c r="D51" s="94" t="n">
        <f aca="false">C51/$E$46</f>
        <v>0</v>
      </c>
      <c r="E51" s="191" t="n">
        <f aca="false">FALSE()</f>
        <v>0</v>
      </c>
      <c r="F51" s="0"/>
      <c r="G51" s="0"/>
      <c r="H51" s="0"/>
      <c r="I51" s="0"/>
      <c r="J51" s="192"/>
      <c r="K51" s="193"/>
    </row>
    <row r="52" customFormat="false" ht="15" hidden="false" customHeight="false" outlineLevel="0" collapsed="false">
      <c r="A52" s="18" t="s">
        <v>629</v>
      </c>
      <c r="B52" s="115" t="n">
        <v>3000000</v>
      </c>
      <c r="C52" s="190" t="n">
        <v>0.320692851929441</v>
      </c>
      <c r="D52" s="94" t="n">
        <f aca="false">C52/$E$46</f>
        <v>0.0973485711857306</v>
      </c>
      <c r="E52" s="191" t="n">
        <f aca="false">TRUE()</f>
        <v>1</v>
      </c>
      <c r="F52" s="0"/>
      <c r="G52" s="0"/>
      <c r="H52" s="0"/>
      <c r="I52" s="0"/>
      <c r="J52" s="192"/>
      <c r="K52" s="193"/>
    </row>
    <row r="53" customFormat="false" ht="15" hidden="false" customHeight="false" outlineLevel="0" collapsed="false">
      <c r="A53" s="18" t="s">
        <v>630</v>
      </c>
      <c r="B53" s="115" t="n">
        <v>-36300000</v>
      </c>
      <c r="C53" s="190" t="n">
        <v>-3.88038350834623</v>
      </c>
      <c r="D53" s="94" t="n">
        <f aca="false">C53/$E$46</f>
        <v>-1.17791771134734</v>
      </c>
      <c r="E53" s="191" t="n">
        <f aca="false">TRUE()</f>
        <v>1</v>
      </c>
      <c r="F53" s="18" t="s">
        <v>631</v>
      </c>
      <c r="G53" s="0"/>
      <c r="H53" s="0"/>
      <c r="I53" s="0"/>
      <c r="J53" s="192"/>
      <c r="K53" s="193"/>
    </row>
    <row r="54" customFormat="false" ht="15" hidden="false" customHeight="false" outlineLevel="0" collapsed="false">
      <c r="A54" s="18" t="s">
        <v>632</v>
      </c>
      <c r="B54" s="115" t="n">
        <v>0</v>
      </c>
      <c r="C54" s="190" t="n">
        <v>0</v>
      </c>
      <c r="D54" s="94" t="n">
        <f aca="false">C54/$E$46</f>
        <v>0</v>
      </c>
      <c r="E54" s="191" t="n">
        <f aca="false">TRUE()</f>
        <v>1</v>
      </c>
      <c r="F54" s="18" t="s">
        <v>633</v>
      </c>
      <c r="G54" s="0"/>
      <c r="H54" s="0"/>
      <c r="I54" s="0"/>
      <c r="J54" s="192"/>
      <c r="K54" s="193"/>
    </row>
    <row r="55" customFormat="false" ht="15" hidden="false" customHeight="false" outlineLevel="0" collapsed="false">
      <c r="A55" s="18" t="s">
        <v>192</v>
      </c>
      <c r="B55" s="115" t="n">
        <v>20400000</v>
      </c>
      <c r="C55" s="190" t="n">
        <v>2.1807113931202</v>
      </c>
      <c r="D55" s="94" t="n">
        <f aca="false">C55/$E$46</f>
        <v>0.661970284062968</v>
      </c>
      <c r="E55" s="194" t="n">
        <f aca="false">FALSE()</f>
        <v>0</v>
      </c>
      <c r="F55" s="0"/>
      <c r="G55" s="0"/>
      <c r="H55" s="0"/>
      <c r="I55" s="0"/>
      <c r="J55" s="192"/>
      <c r="K55" s="193"/>
    </row>
    <row r="56" customFormat="false" ht="15" hidden="false" customHeight="false" outlineLevel="0" collapsed="false">
      <c r="A56" s="18" t="s">
        <v>193</v>
      </c>
      <c r="B56" s="115" t="n">
        <v>14900000</v>
      </c>
      <c r="C56" s="190" t="n">
        <v>1.59277449791622</v>
      </c>
      <c r="D56" s="94" t="n">
        <f aca="false">C56/$E$46</f>
        <v>0.483497903555795</v>
      </c>
      <c r="E56" s="191" t="n">
        <f aca="false">FALSE()</f>
        <v>0</v>
      </c>
      <c r="F56" s="0"/>
      <c r="G56" s="0"/>
      <c r="H56" s="0"/>
      <c r="I56" s="0"/>
      <c r="J56" s="192"/>
      <c r="K56" s="193"/>
    </row>
    <row r="57" customFormat="false" ht="15" hidden="false" customHeight="false" outlineLevel="0" collapsed="false">
      <c r="A57" s="18" t="s">
        <v>634</v>
      </c>
      <c r="B57" s="115" t="n">
        <v>1800000</v>
      </c>
      <c r="C57" s="190" t="n">
        <v>0.192415711157664</v>
      </c>
      <c r="D57" s="94" t="n">
        <f aca="false">C57/$E$46</f>
        <v>0.0584091427114383</v>
      </c>
      <c r="E57" s="191" t="n">
        <f aca="false">FALSE()</f>
        <v>0</v>
      </c>
      <c r="F57" s="0"/>
      <c r="G57" s="0"/>
      <c r="H57" s="0"/>
      <c r="I57" s="0"/>
      <c r="J57" s="192"/>
      <c r="K57" s="193"/>
    </row>
    <row r="58" customFormat="false" ht="15" hidden="false" customHeight="false" outlineLevel="0" collapsed="false">
      <c r="A58" s="189" t="s">
        <v>635</v>
      </c>
      <c r="B58" s="151" t="n">
        <v>8600000</v>
      </c>
      <c r="C58" s="195" t="n">
        <v>0.919319508864396</v>
      </c>
      <c r="D58" s="196" t="n">
        <f aca="false">C58/$E$46</f>
        <v>0.279065904065761</v>
      </c>
      <c r="E58" s="191" t="n">
        <f aca="false">FALSE()</f>
        <v>0</v>
      </c>
      <c r="F58" s="0"/>
      <c r="G58" s="0"/>
      <c r="H58" s="0"/>
      <c r="I58" s="0"/>
      <c r="J58" s="192"/>
      <c r="K58" s="193"/>
    </row>
    <row r="59" customFormat="false" ht="15" hidden="false" customHeight="false" outlineLevel="0" collapsed="false">
      <c r="A59" s="18" t="s">
        <v>197</v>
      </c>
      <c r="B59" s="197" t="n">
        <f aca="false">SUM(B48:B58)</f>
        <v>217500000</v>
      </c>
      <c r="C59" s="197" t="n">
        <f aca="false">SUM(C48:C58)</f>
        <v>23.2502317648844</v>
      </c>
      <c r="D59" s="94" t="n">
        <f aca="false">C59/$E$46</f>
        <v>7.05777141096546</v>
      </c>
      <c r="E59" s="0"/>
      <c r="F59" s="0"/>
      <c r="G59" s="0"/>
      <c r="H59" s="0"/>
      <c r="I59" s="0"/>
      <c r="J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5" hidden="false" customHeight="false" outlineLevel="0" collapsed="false">
      <c r="A61" s="16"/>
      <c r="B61" s="186" t="s">
        <v>618</v>
      </c>
      <c r="C61" s="186" t="s">
        <v>619</v>
      </c>
      <c r="D61" s="187" t="s">
        <v>620</v>
      </c>
      <c r="E61" s="0"/>
      <c r="F61" s="0"/>
      <c r="G61" s="0"/>
      <c r="H61" s="0"/>
      <c r="I61" s="0"/>
      <c r="J61" s="0"/>
    </row>
    <row r="62" customFormat="false" ht="15" hidden="false" customHeight="false" outlineLevel="0" collapsed="false">
      <c r="A62" s="18" t="s">
        <v>214</v>
      </c>
      <c r="B62" s="197" t="n">
        <f aca="false">B59-SUMIFS(B48:B58,$E$48:$E$58,1)</f>
        <v>54200000</v>
      </c>
      <c r="C62" s="197" t="n">
        <f aca="false">C59-SUMIFS(C48:C58,$E$48:$E$58,1)</f>
        <v>5.79385085819189</v>
      </c>
      <c r="D62" s="197" t="n">
        <f aca="false">D59-SUMIFS(D48:D58,$E$48:$E$58,1)</f>
        <v>1.75876418608886</v>
      </c>
      <c r="E62" s="198"/>
      <c r="F62" s="0"/>
      <c r="G62" s="0"/>
      <c r="H62" s="0"/>
      <c r="I62" s="0"/>
      <c r="J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5" hidden="false" customHeight="false" outlineLevel="0" collapsed="false">
      <c r="A64" s="14" t="s">
        <v>636</v>
      </c>
      <c r="B64" s="16"/>
      <c r="C64" s="189"/>
      <c r="D64" s="189"/>
      <c r="E64" s="189"/>
      <c r="F64" s="16"/>
      <c r="G64" s="189"/>
      <c r="H64" s="189"/>
      <c r="I64" s="189"/>
      <c r="J64" s="189"/>
    </row>
    <row r="65" customFormat="false" ht="15" hidden="false" customHeight="false" outlineLevel="0" collapsed="false">
      <c r="A65" s="0" t="s">
        <v>637</v>
      </c>
      <c r="B65" s="115" t="n">
        <v>6640000</v>
      </c>
      <c r="C65" s="0"/>
      <c r="D65" s="18" t="s">
        <v>638</v>
      </c>
      <c r="E65" s="0"/>
      <c r="F65" s="0"/>
      <c r="G65" s="0"/>
      <c r="H65" s="0"/>
      <c r="I65" s="0"/>
      <c r="J65" s="0"/>
    </row>
    <row r="66" customFormat="false" ht="15" hidden="false" customHeight="false" outlineLevel="0" collapsed="false">
      <c r="A66" s="0" t="s">
        <v>639</v>
      </c>
      <c r="B66" s="18" t="n">
        <f aca="false">0.0051</f>
        <v>0.0051</v>
      </c>
      <c r="C66" s="18" t="s">
        <v>640</v>
      </c>
      <c r="D66" s="18" t="s">
        <v>638</v>
      </c>
      <c r="E66" s="0"/>
      <c r="F66" s="0"/>
      <c r="G66" s="0"/>
      <c r="H66" s="0"/>
      <c r="I66" s="0"/>
      <c r="J66" s="0"/>
    </row>
    <row r="67" customFormat="false" ht="15" hidden="false" customHeight="false" outlineLevel="0" collapsed="false">
      <c r="A67" s="0" t="s">
        <v>641</v>
      </c>
      <c r="B67" s="18" t="n">
        <v>947.8171</v>
      </c>
      <c r="C67" s="18" t="s">
        <v>642</v>
      </c>
      <c r="D67" s="0"/>
      <c r="E67" s="0"/>
      <c r="F67" s="0"/>
      <c r="G67" s="0"/>
      <c r="H67" s="0"/>
      <c r="I67" s="0"/>
      <c r="J67" s="0"/>
    </row>
    <row r="68" customFormat="false" ht="15" hidden="false" customHeight="false" outlineLevel="0" collapsed="false">
      <c r="A68" s="0" t="s">
        <v>639</v>
      </c>
      <c r="B68" s="185" t="n">
        <f aca="false">B67*B66</f>
        <v>4.83386721</v>
      </c>
      <c r="C68" s="18" t="s">
        <v>643</v>
      </c>
      <c r="D68" s="0"/>
      <c r="E68" s="0"/>
      <c r="F68" s="0"/>
      <c r="G68" s="0"/>
      <c r="H68" s="0"/>
      <c r="I68" s="0"/>
      <c r="J68" s="0"/>
    </row>
    <row r="69" customFormat="false" ht="15" hidden="false" customHeight="false" outlineLevel="0" collapsed="false">
      <c r="A69" s="0" t="s">
        <v>644</v>
      </c>
      <c r="B69" s="199" t="n">
        <f aca="false">B65/B68</f>
        <v>1373641.37481137</v>
      </c>
      <c r="C69" s="18" t="s">
        <v>614</v>
      </c>
      <c r="D69" s="0"/>
      <c r="E69" s="0"/>
      <c r="F69" s="0"/>
      <c r="G69" s="0"/>
      <c r="H69" s="0"/>
      <c r="I69" s="0"/>
      <c r="J69" s="0"/>
    </row>
    <row r="70" customFormat="false" ht="15" hidden="false" customHeight="false" outlineLevel="0" collapsed="false">
      <c r="A70" s="0" t="s">
        <v>645</v>
      </c>
      <c r="B70" s="200" t="n">
        <f aca="false">B69/B45</f>
        <v>0.146838990005512</v>
      </c>
      <c r="D70" s="0"/>
      <c r="E70" s="0"/>
      <c r="F70" s="0"/>
      <c r="G70" s="0"/>
      <c r="H70" s="0"/>
      <c r="I70" s="0"/>
      <c r="J70" s="0"/>
    </row>
    <row r="71" customFormat="false" ht="15" hidden="false" customHeight="false" outlineLevel="0" collapsed="false">
      <c r="A71" s="0"/>
      <c r="B71" s="200"/>
      <c r="D71" s="0"/>
      <c r="E71" s="0"/>
      <c r="F71" s="0"/>
      <c r="G71" s="0"/>
      <c r="H71" s="0"/>
      <c r="I71" s="0"/>
      <c r="J71" s="0"/>
    </row>
    <row r="72" customFormat="false" ht="15" hidden="false" customHeight="false" outlineLevel="0" collapsed="false">
      <c r="A72" s="14" t="s">
        <v>646</v>
      </c>
      <c r="B72" s="16"/>
      <c r="C72" s="189"/>
      <c r="D72" s="189"/>
      <c r="E72" s="189"/>
      <c r="F72" s="16"/>
      <c r="G72" s="189"/>
      <c r="H72" s="189"/>
      <c r="I72" s="189"/>
      <c r="J72" s="189"/>
    </row>
    <row r="73" customFormat="false" ht="15" hidden="false" customHeight="false" outlineLevel="0" collapsed="false">
      <c r="A73" s="0" t="s">
        <v>637</v>
      </c>
      <c r="B73" s="115" t="n">
        <v>2970000</v>
      </c>
      <c r="C73" s="0"/>
      <c r="D73" s="18" t="s">
        <v>638</v>
      </c>
      <c r="E73" s="0"/>
      <c r="F73" s="0"/>
      <c r="G73" s="0"/>
      <c r="H73" s="0"/>
      <c r="I73" s="0"/>
      <c r="J73" s="0"/>
    </row>
    <row r="74" customFormat="false" ht="15" hidden="false" customHeight="false" outlineLevel="0" collapsed="false">
      <c r="A74" s="0" t="s">
        <v>639</v>
      </c>
      <c r="B74" s="200" t="n">
        <v>0.0689</v>
      </c>
      <c r="C74" s="18" t="s">
        <v>647</v>
      </c>
      <c r="D74" s="18" t="s">
        <v>638</v>
      </c>
      <c r="E74" s="0"/>
      <c r="F74" s="0"/>
      <c r="G74" s="0"/>
      <c r="H74" s="0"/>
      <c r="I74" s="0"/>
      <c r="J74" s="0"/>
    </row>
    <row r="75" customFormat="false" ht="15" hidden="false" customHeight="false" outlineLevel="0" collapsed="false">
      <c r="A75" s="0" t="s">
        <v>641</v>
      </c>
      <c r="B75" s="18" t="n">
        <v>0.0036</v>
      </c>
      <c r="C75" s="18" t="s">
        <v>246</v>
      </c>
      <c r="D75" s="0"/>
      <c r="E75" s="0"/>
      <c r="F75" s="0"/>
      <c r="G75" s="0"/>
      <c r="H75" s="0"/>
      <c r="I75" s="0"/>
      <c r="J75" s="0"/>
    </row>
    <row r="76" customFormat="false" ht="15" hidden="false" customHeight="false" outlineLevel="0" collapsed="false">
      <c r="A76" s="0" t="s">
        <v>639</v>
      </c>
      <c r="B76" s="200" t="n">
        <f aca="false">B74/B75</f>
        <v>19.1388888888889</v>
      </c>
      <c r="C76" s="18" t="s">
        <v>643</v>
      </c>
      <c r="D76" s="0"/>
      <c r="E76" s="0"/>
      <c r="F76" s="0"/>
      <c r="G76" s="0"/>
      <c r="H76" s="0"/>
      <c r="I76" s="0"/>
      <c r="J76" s="0"/>
    </row>
    <row r="77" customFormat="false" ht="15" hidden="false" customHeight="false" outlineLevel="0" collapsed="false">
      <c r="A77" s="0" t="s">
        <v>648</v>
      </c>
      <c r="B77" s="199" t="n">
        <f aca="false">B73/B76</f>
        <v>155181.422351234</v>
      </c>
      <c r="C77" s="18" t="s">
        <v>614</v>
      </c>
      <c r="D77" s="0"/>
      <c r="E77" s="0"/>
      <c r="F77" s="0"/>
      <c r="G77" s="0"/>
      <c r="H77" s="0"/>
      <c r="I77" s="0"/>
      <c r="J77" s="0"/>
    </row>
    <row r="78" customFormat="false" ht="15" hidden="false" customHeight="false" outlineLevel="0" collapsed="false">
      <c r="A78" s="0" t="s">
        <v>645</v>
      </c>
      <c r="B78" s="200" t="n">
        <f aca="false">B77/B45</f>
        <v>0.0165885243000947</v>
      </c>
      <c r="D78" s="0"/>
      <c r="E78" s="0"/>
      <c r="F78" s="0"/>
      <c r="G78" s="0"/>
      <c r="H78" s="0"/>
      <c r="I78" s="0"/>
      <c r="J78" s="0"/>
    </row>
    <row r="79" customFormat="false" ht="15" hidden="false" customHeight="false" outlineLevel="0" collapsed="false">
      <c r="A79" s="0"/>
      <c r="B79" s="0"/>
      <c r="C79" s="185"/>
      <c r="D79" s="0"/>
      <c r="E79" s="0"/>
      <c r="F79" s="0"/>
      <c r="G79" s="0"/>
      <c r="H79" s="0"/>
      <c r="I79" s="0"/>
      <c r="J79" s="0"/>
    </row>
    <row r="80" customFormat="false" ht="15" hidden="false" customHeight="false" outlineLevel="0" collapsed="false">
      <c r="A80" s="14" t="s">
        <v>649</v>
      </c>
      <c r="B80" s="189"/>
      <c r="C80" s="16"/>
      <c r="D80" s="189"/>
      <c r="E80" s="189"/>
      <c r="F80" s="16"/>
      <c r="G80" s="189"/>
      <c r="H80" s="189"/>
      <c r="I80" s="189"/>
      <c r="J80" s="189"/>
    </row>
    <row r="81" customFormat="false" ht="15" hidden="false" customHeight="false" outlineLevel="0" collapsed="false">
      <c r="A81" s="201" t="s">
        <v>650</v>
      </c>
      <c r="B81" s="202" t="n">
        <v>0.9</v>
      </c>
      <c r="C81" s="203" t="s">
        <v>651</v>
      </c>
      <c r="D81" s="0"/>
    </row>
    <row r="82" customFormat="false" ht="15" hidden="false" customHeight="false" outlineLevel="0" collapsed="false">
      <c r="A82" s="18" t="s">
        <v>652</v>
      </c>
      <c r="B82" s="204" t="n">
        <f aca="false">Algae_N_fertilizer</f>
        <v>0.0193798449612403</v>
      </c>
      <c r="C82" s="18" t="s">
        <v>653</v>
      </c>
      <c r="D82" s="0"/>
    </row>
    <row r="83" customFormat="false" ht="15" hidden="false" customHeight="false" outlineLevel="0" collapsed="false">
      <c r="A83" s="18" t="s">
        <v>654</v>
      </c>
      <c r="B83" s="204" t="n">
        <f aca="false">B82*B81</f>
        <v>0.0174418604651163</v>
      </c>
      <c r="C83" s="18" t="s">
        <v>655</v>
      </c>
      <c r="D83" s="0"/>
    </row>
    <row r="84" customFormat="false" ht="15" hidden="false" customHeight="false" outlineLevel="0" collapsed="false">
      <c r="A84" s="18" t="s">
        <v>656</v>
      </c>
      <c r="B84" s="204" t="n">
        <f aca="false">B83*B39</f>
        <v>0.747972310918356</v>
      </c>
      <c r="C84" s="18" t="s">
        <v>657</v>
      </c>
      <c r="D84" s="0"/>
    </row>
    <row r="85" customFormat="false" ht="15" hidden="false" customHeight="false" outlineLevel="0" collapsed="false">
      <c r="A85" s="0"/>
      <c r="B85" s="0"/>
      <c r="C85" s="0"/>
      <c r="D85" s="0"/>
    </row>
    <row r="86" customFormat="false" ht="15" hidden="false" customHeight="false" outlineLevel="0" collapsed="false">
      <c r="A86" s="201" t="s">
        <v>658</v>
      </c>
      <c r="B86" s="202" t="n">
        <v>0.9</v>
      </c>
      <c r="C86" s="203" t="s">
        <v>651</v>
      </c>
      <c r="D86" s="18" t="s">
        <v>659</v>
      </c>
    </row>
    <row r="87" customFormat="false" ht="15" hidden="false" customHeight="false" outlineLevel="0" collapsed="false">
      <c r="A87" s="18" t="s">
        <v>652</v>
      </c>
      <c r="B87" s="19" t="n">
        <f aca="false">Algae_P_fertilizer</f>
        <v>0.00968992248062015</v>
      </c>
      <c r="C87" s="18" t="s">
        <v>653</v>
      </c>
    </row>
    <row r="88" customFormat="false" ht="15" hidden="false" customHeight="false" outlineLevel="0" collapsed="false">
      <c r="A88" s="18" t="s">
        <v>654</v>
      </c>
      <c r="B88" s="19" t="n">
        <f aca="false">B87*B86</f>
        <v>0.00872093023255814</v>
      </c>
    </row>
    <row r="89" customFormat="false" ht="15" hidden="false" customHeight="false" outlineLevel="0" collapsed="false">
      <c r="A89" s="18" t="s">
        <v>656</v>
      </c>
      <c r="B89" s="19" t="n">
        <f aca="false">B88*B39</f>
        <v>0.373986155459178</v>
      </c>
      <c r="C89" s="18" t="s">
        <v>657</v>
      </c>
    </row>
    <row r="90" customFormat="false" ht="15" hidden="false" customHeight="false" outlineLevel="0" collapsed="false">
      <c r="A90" s="0"/>
      <c r="B90" s="0"/>
      <c r="C90" s="0"/>
    </row>
    <row r="91" customFormat="false" ht="15" hidden="false" customHeight="false" outlineLevel="0" collapsed="false">
      <c r="A91" s="201" t="s">
        <v>660</v>
      </c>
      <c r="B91" s="202" t="n">
        <v>0.3</v>
      </c>
      <c r="C91" s="203" t="s">
        <v>661</v>
      </c>
    </row>
    <row r="92" customFormat="false" ht="15" hidden="false" customHeight="false" outlineLevel="0" collapsed="false">
      <c r="A92" s="18" t="s">
        <v>662</v>
      </c>
      <c r="B92" s="19" t="n">
        <v>0.86</v>
      </c>
      <c r="C92" s="18" t="s">
        <v>663</v>
      </c>
    </row>
    <row r="93" customFormat="false" ht="15" hidden="false" customHeight="false" outlineLevel="0" collapsed="false">
      <c r="A93" s="18" t="s">
        <v>654</v>
      </c>
      <c r="B93" s="19" t="n">
        <f aca="false">B92*B91</f>
        <v>0.258</v>
      </c>
    </row>
    <row r="94" customFormat="false" ht="15" hidden="false" customHeight="false" outlineLevel="0" collapsed="false">
      <c r="A94" s="18" t="s">
        <v>656</v>
      </c>
      <c r="B94" s="205" t="n">
        <f aca="false">B93*B39</f>
        <v>11.0640064231043</v>
      </c>
      <c r="C94" s="18" t="s">
        <v>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P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57:AC68 A1"/>
    </sheetView>
  </sheetViews>
  <sheetFormatPr defaultRowHeight="15"/>
  <cols>
    <col collapsed="false" hidden="false" max="1" min="1" style="0" width="26.0510204081633"/>
    <col collapsed="false" hidden="false" max="2" min="2" style="0" width="13.9030612244898"/>
    <col collapsed="false" hidden="false" max="3" min="3" style="0" width="15.1173469387755"/>
    <col collapsed="false" hidden="false" max="4" min="4" style="0" width="16.1989795918367"/>
    <col collapsed="false" hidden="false" max="5" min="5" style="0" width="19.1683673469388"/>
    <col collapsed="false" hidden="false" max="6" min="6" style="0" width="9.85204081632653"/>
    <col collapsed="false" hidden="false" max="7" min="7" style="0" width="14.7142857142857"/>
    <col collapsed="false" hidden="false" max="12" min="8" style="0" width="8.63775510204082"/>
    <col collapsed="false" hidden="false" max="13" min="13" style="0" width="12.2857142857143"/>
    <col collapsed="false" hidden="false" max="14" min="14" style="0" width="11.6071428571429"/>
    <col collapsed="false" hidden="false" max="19" min="15" style="0" width="8.63775510204082"/>
    <col collapsed="false" hidden="false" max="20" min="20" style="0" width="11.7448979591837"/>
    <col collapsed="false" hidden="false" max="1025" min="21" style="0" width="8.63775510204082"/>
  </cols>
  <sheetData>
    <row r="1" customFormat="false" ht="26.25" hidden="false" customHeight="false" outlineLevel="0" collapsed="false">
      <c r="A1" s="8" t="s">
        <v>278</v>
      </c>
    </row>
    <row r="2" customFormat="false" ht="15" hidden="false" customHeight="false" outlineLevel="0" collapsed="false">
      <c r="A2" s="9" t="s">
        <v>279</v>
      </c>
    </row>
    <row r="3" customFormat="false" ht="15" hidden="false" customHeight="false" outlineLevel="0" collapsed="false">
      <c r="A3" s="0" t="s">
        <v>280</v>
      </c>
    </row>
    <row r="4" customFormat="false" ht="15" hidden="false" customHeight="false" outlineLevel="0" collapsed="false">
      <c r="A4" s="9"/>
    </row>
    <row r="6" customFormat="false" ht="15" hidden="false" customHeight="false" outlineLevel="0" collapsed="false">
      <c r="A6" s="9"/>
    </row>
    <row r="7" customFormat="false" ht="15" hidden="false" customHeight="false" outlineLevel="0" collapsed="false">
      <c r="A7" s="11" t="s">
        <v>111</v>
      </c>
      <c r="B7" s="12" t="s">
        <v>30</v>
      </c>
    </row>
    <row r="8" customFormat="false" ht="15" hidden="false" customHeight="false" outlineLevel="0" collapsed="false">
      <c r="A8" s="0" t="s">
        <v>15</v>
      </c>
      <c r="B8" s="0" t="s">
        <v>281</v>
      </c>
    </row>
    <row r="9" s="13" customFormat="true" ht="15" hidden="false" customHeight="false" outlineLevel="0" collapsed="false"/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2" customFormat="false" ht="15" hidden="false" customHeight="false" outlineLevel="0" collapsed="false">
      <c r="B12" s="60" t="s">
        <v>114</v>
      </c>
      <c r="C12" s="0" t="s">
        <v>282</v>
      </c>
    </row>
    <row r="13" customFormat="false" ht="15" hidden="false" customHeight="false" outlineLevel="0" collapsed="false">
      <c r="A13" s="0" t="s">
        <v>283</v>
      </c>
      <c r="B13" s="0" t="s">
        <v>284</v>
      </c>
      <c r="C13" s="0" t="n">
        <v>1</v>
      </c>
      <c r="D13" s="0" t="s">
        <v>285</v>
      </c>
    </row>
    <row r="14" customFormat="false" ht="15" hidden="false" customHeight="false" outlineLevel="0" collapsed="false">
      <c r="A14" s="0" t="s">
        <v>286</v>
      </c>
      <c r="B14" s="0" t="s">
        <v>287</v>
      </c>
      <c r="C14" s="109" t="n">
        <f aca="false">C79/B30/1000</f>
        <v>0.00204275247481006</v>
      </c>
      <c r="D14" s="0" t="s">
        <v>285</v>
      </c>
    </row>
    <row r="15" customFormat="false" ht="15" hidden="false" customHeight="false" outlineLevel="0" collapsed="false">
      <c r="A15" s="0" t="s">
        <v>290</v>
      </c>
      <c r="B15" s="0" t="s">
        <v>291</v>
      </c>
      <c r="C15" s="109" t="n">
        <f aca="false">B45/B30/1000</f>
        <v>0</v>
      </c>
      <c r="D15" s="0" t="s">
        <v>285</v>
      </c>
    </row>
    <row r="16" customFormat="false" ht="15" hidden="false" customHeight="false" outlineLevel="0" collapsed="false">
      <c r="A16" s="16" t="s">
        <v>292</v>
      </c>
      <c r="B16" s="16" t="s">
        <v>293</v>
      </c>
      <c r="C16" s="206" t="n">
        <f aca="false">SUM(C17:C20)</f>
        <v>0.00594360534944352</v>
      </c>
      <c r="D16" s="16" t="s">
        <v>294</v>
      </c>
      <c r="E16" s="16"/>
    </row>
    <row r="17" customFormat="false" ht="15" hidden="false" customHeight="false" outlineLevel="0" collapsed="false">
      <c r="A17" s="0" t="s">
        <v>295</v>
      </c>
      <c r="C17" s="105" t="n">
        <f aca="false">C77/B30/B25/1000</f>
        <v>0</v>
      </c>
      <c r="E17" s="0" t="s">
        <v>296</v>
      </c>
    </row>
    <row r="18" customFormat="false" ht="15" hidden="false" customHeight="false" outlineLevel="0" collapsed="false">
      <c r="A18" s="0" t="s">
        <v>297</v>
      </c>
      <c r="C18" s="105" t="n">
        <f aca="false">D93/B30/B25/1000</f>
        <v>0.000638207114546927</v>
      </c>
      <c r="E18" s="0" t="s">
        <v>296</v>
      </c>
    </row>
    <row r="19" customFormat="false" ht="15" hidden="false" customHeight="false" outlineLevel="0" collapsed="false">
      <c r="A19" s="0" t="s">
        <v>298</v>
      </c>
      <c r="C19" s="105" t="n">
        <f aca="false">D108/B30/B25/1000</f>
        <v>0.0012389384583858</v>
      </c>
      <c r="E19" s="0" t="s">
        <v>296</v>
      </c>
    </row>
    <row r="20" customFormat="false" ht="15" hidden="false" customHeight="false" outlineLevel="0" collapsed="false">
      <c r="A20" s="0" t="s">
        <v>299</v>
      </c>
      <c r="C20" s="105" t="n">
        <f aca="false">D109/B30/B25/1000</f>
        <v>0.00406645977651079</v>
      </c>
      <c r="E20" s="0" t="s">
        <v>296</v>
      </c>
    </row>
    <row r="21" customFormat="false" ht="15" hidden="false" customHeight="false" outlineLevel="0" collapsed="false">
      <c r="B21" s="106"/>
      <c r="C21" s="106"/>
    </row>
    <row r="22" s="13" customFormat="true" ht="15" hidden="false" customHeight="false" outlineLevel="0" collapsed="false"/>
    <row r="23" customFormat="false" ht="15" hidden="false" customHeight="false" outlineLevel="0" collapsed="false">
      <c r="A23" s="107" t="s">
        <v>300</v>
      </c>
      <c r="C23" s="108"/>
    </row>
    <row r="24" customFormat="false" ht="15" hidden="false" customHeight="false" outlineLevel="0" collapsed="false">
      <c r="C24" s="63"/>
      <c r="L24" s="38"/>
    </row>
    <row r="25" customFormat="false" ht="15" hidden="false" customHeight="false" outlineLevel="0" collapsed="false">
      <c r="A25" s="73" t="s">
        <v>301</v>
      </c>
      <c r="B25" s="109" t="n">
        <v>3.29427384524826</v>
      </c>
      <c r="L25" s="38"/>
    </row>
    <row r="26" customFormat="false" ht="15" hidden="false" customHeight="false" outlineLevel="0" collapsed="false">
      <c r="C26" s="28"/>
      <c r="L26" s="28"/>
      <c r="O26" s="32"/>
    </row>
    <row r="27" customFormat="false" ht="15" hidden="false" customHeight="false" outlineLevel="0" collapsed="false">
      <c r="A27" s="0" t="s">
        <v>302</v>
      </c>
      <c r="B27" s="0" t="n">
        <v>1215</v>
      </c>
      <c r="C27" s="0" t="s">
        <v>303</v>
      </c>
      <c r="D27" s="0" t="s">
        <v>304</v>
      </c>
    </row>
    <row r="28" customFormat="false" ht="15" hidden="false" customHeight="false" outlineLevel="0" collapsed="false">
      <c r="A28" s="0" t="s">
        <v>305</v>
      </c>
      <c r="B28" s="0" t="n">
        <v>0.9</v>
      </c>
      <c r="C28" s="0" t="s">
        <v>306</v>
      </c>
      <c r="L28" s="38"/>
    </row>
    <row r="29" customFormat="false" ht="15" hidden="false" customHeight="false" outlineLevel="0" collapsed="false">
      <c r="A29" s="0" t="s">
        <v>307</v>
      </c>
      <c r="B29" s="0" t="n">
        <f aca="false">B27*1000/24/B28</f>
        <v>56250</v>
      </c>
      <c r="C29" s="0" t="s">
        <v>308</v>
      </c>
      <c r="D29" s="0" t="s">
        <v>309</v>
      </c>
    </row>
    <row r="30" customFormat="false" ht="15" hidden="false" customHeight="false" outlineLevel="0" collapsed="false">
      <c r="A30" s="0" t="s">
        <v>310</v>
      </c>
      <c r="B30" s="37" t="n">
        <f aca="false">B27*365</f>
        <v>443475</v>
      </c>
      <c r="C30" s="0" t="s">
        <v>311</v>
      </c>
      <c r="L30" s="38"/>
      <c r="O30" s="32"/>
    </row>
    <row r="31" customFormat="false" ht="15" hidden="false" customHeight="false" outlineLevel="0" collapsed="false">
      <c r="A31" s="0" t="s">
        <v>312</v>
      </c>
      <c r="B31" s="37" t="n">
        <f aca="false">WEFlat!B33</f>
        <v>2022.115365</v>
      </c>
      <c r="C31" s="0" t="s">
        <v>313</v>
      </c>
      <c r="D31" s="0" t="s">
        <v>314</v>
      </c>
      <c r="L31" s="39"/>
    </row>
    <row r="32" customFormat="false" ht="15" hidden="false" customHeight="false" outlineLevel="0" collapsed="false">
      <c r="B32" s="37" t="n">
        <f aca="false">B31/B28/24*1000</f>
        <v>93616.4520833333</v>
      </c>
      <c r="C32" s="0" t="s">
        <v>308</v>
      </c>
    </row>
    <row r="34" s="13" customFormat="true" ht="15" hidden="false" customHeight="false" outlineLevel="0" collapsed="false">
      <c r="L34" s="110"/>
      <c r="O34" s="34"/>
    </row>
    <row r="35" s="112" customFormat="true" ht="15" hidden="false" customHeight="false" outlineLevel="0" collapsed="false">
      <c r="A35" s="111" t="s">
        <v>315</v>
      </c>
      <c r="L35" s="113"/>
      <c r="O35" s="114"/>
    </row>
    <row r="36" s="112" customFormat="true" ht="15" hidden="false" customHeight="false" outlineLevel="0" collapsed="false">
      <c r="A36" s="0"/>
      <c r="L36" s="113"/>
      <c r="O36" s="114"/>
    </row>
    <row r="37" customFormat="false" ht="15" hidden="false" customHeight="false" outlineLevel="0" collapsed="false">
      <c r="A37" s="0" t="s">
        <v>316</v>
      </c>
    </row>
    <row r="38" customFormat="false" ht="15" hidden="false" customHeight="false" outlineLevel="0" collapsed="false">
      <c r="A38" s="0" t="s">
        <v>664</v>
      </c>
      <c r="B38" s="0" t="n">
        <f aca="false">WEFlat!B59</f>
        <v>678352941176.471</v>
      </c>
      <c r="C38" s="0" t="s">
        <v>318</v>
      </c>
    </row>
    <row r="39" customFormat="false" ht="15" hidden="false" customHeight="false" outlineLevel="0" collapsed="false">
      <c r="A39" s="0" t="s">
        <v>317</v>
      </c>
      <c r="B39" s="0" t="n">
        <f aca="false">WEFlat!B60</f>
        <v>858633304045.639</v>
      </c>
      <c r="C39" s="0" t="s">
        <v>318</v>
      </c>
    </row>
    <row r="41" customFormat="false" ht="15" hidden="false" customHeight="false" outlineLevel="0" collapsed="false">
      <c r="A41" s="14" t="s">
        <v>319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customFormat="false" ht="15" hidden="false" customHeight="false" outlineLevel="0" collapsed="false">
      <c r="A42" s="0" t="s">
        <v>320</v>
      </c>
      <c r="B42" s="115" t="n">
        <f aca="false">WEFlat!B44*(B29/WEFlat!B45)^WEFlat!B47</f>
        <v>28604410.9934716</v>
      </c>
      <c r="C42" s="0" t="s">
        <v>321</v>
      </c>
      <c r="D42" s="0" t="s">
        <v>322</v>
      </c>
    </row>
    <row r="43" customFormat="false" ht="15" hidden="false" customHeight="false" outlineLevel="0" collapsed="false">
      <c r="A43" s="0" t="s">
        <v>323</v>
      </c>
      <c r="B43" s="0" t="n">
        <v>0</v>
      </c>
      <c r="C43" s="0" t="s">
        <v>324</v>
      </c>
    </row>
    <row r="44" customFormat="false" ht="15" hidden="false" customHeight="false" outlineLevel="0" collapsed="false">
      <c r="A44" s="0" t="s">
        <v>325</v>
      </c>
      <c r="B44" s="37" t="n">
        <f aca="false">B39*(1.05506*10^(-6))</f>
        <v>905909.653766392</v>
      </c>
      <c r="C44" s="0" t="s">
        <v>326</v>
      </c>
    </row>
    <row r="45" customFormat="false" ht="15" hidden="false" customHeight="false" outlineLevel="0" collapsed="false">
      <c r="A45" s="0" t="s">
        <v>327</v>
      </c>
      <c r="B45" s="0" t="n">
        <v>0</v>
      </c>
      <c r="C45" s="0" t="s">
        <v>326</v>
      </c>
    </row>
    <row r="47" customFormat="false" ht="15" hidden="false" customHeight="false" outlineLevel="0" collapsed="false">
      <c r="A47" s="14" t="s">
        <v>665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customFormat="false" ht="15" hidden="false" customHeight="false" outlineLevel="0" collapsed="false">
      <c r="A48" s="0" t="s">
        <v>320</v>
      </c>
      <c r="B48" s="115" t="n">
        <f aca="false">WEFlat!B91</f>
        <v>4500000</v>
      </c>
      <c r="C48" s="0" t="s">
        <v>321</v>
      </c>
      <c r="D48" s="0" t="s">
        <v>329</v>
      </c>
    </row>
    <row r="49" customFormat="false" ht="15" hidden="false" customHeight="false" outlineLevel="0" collapsed="false">
      <c r="A49" s="0" t="s">
        <v>323</v>
      </c>
      <c r="B49" s="115" t="n">
        <f aca="false">WEFlat!B92</f>
        <v>0</v>
      </c>
      <c r="C49" s="0" t="s">
        <v>324</v>
      </c>
      <c r="D49" s="0" t="s">
        <v>330</v>
      </c>
    </row>
    <row r="50" customFormat="false" ht="15" hidden="false" customHeight="false" outlineLevel="0" collapsed="false">
      <c r="A50" s="0" t="s">
        <v>325</v>
      </c>
      <c r="B50" s="115" t="n">
        <f aca="false">WEFlat!B93</f>
        <v>0</v>
      </c>
      <c r="C50" s="0" t="s">
        <v>326</v>
      </c>
    </row>
    <row r="51" customFormat="false" ht="15" hidden="false" customHeight="false" outlineLevel="0" collapsed="false">
      <c r="A51" s="0" t="s">
        <v>327</v>
      </c>
      <c r="B51" s="115" t="n">
        <f aca="false">WEFlat!B94</f>
        <v>0</v>
      </c>
      <c r="C51" s="0" t="s">
        <v>326</v>
      </c>
    </row>
    <row r="53" s="13" customFormat="true" ht="15" hidden="false" customHeight="false" outlineLevel="0" collapsed="false">
      <c r="L53" s="110"/>
      <c r="O53" s="34"/>
    </row>
    <row r="54" s="112" customFormat="true" ht="15" hidden="false" customHeight="false" outlineLevel="0" collapsed="false">
      <c r="A54" s="111" t="s">
        <v>331</v>
      </c>
      <c r="L54" s="113"/>
      <c r="O54" s="114"/>
    </row>
    <row r="56" customFormat="false" ht="15" hidden="false" customHeight="false" outlineLevel="0" collapsed="false">
      <c r="A56" s="0" t="s">
        <v>332</v>
      </c>
      <c r="B56" s="0" t="s">
        <v>333</v>
      </c>
    </row>
    <row r="57" customFormat="false" ht="15" hidden="false" customHeight="false" outlineLevel="0" collapsed="false">
      <c r="A57" s="0" t="s">
        <v>334</v>
      </c>
      <c r="B57" s="0" t="n">
        <v>4</v>
      </c>
      <c r="C57" s="115" t="n">
        <f aca="false">B57/100*$B$48</f>
        <v>180000</v>
      </c>
    </row>
    <row r="58" customFormat="false" ht="15" hidden="false" customHeight="false" outlineLevel="0" collapsed="false">
      <c r="A58" s="0" t="s">
        <v>335</v>
      </c>
      <c r="B58" s="0" t="n">
        <v>9</v>
      </c>
      <c r="C58" s="115" t="n">
        <f aca="false">B58/100*$B$48</f>
        <v>405000</v>
      </c>
    </row>
    <row r="59" customFormat="false" ht="15" hidden="false" customHeight="false" outlineLevel="0" collapsed="false">
      <c r="A59" s="0" t="s">
        <v>336</v>
      </c>
      <c r="B59" s="0" t="n">
        <v>4.5</v>
      </c>
      <c r="C59" s="115" t="n">
        <f aca="false">B59/100*$B$48</f>
        <v>202500</v>
      </c>
    </row>
    <row r="61" customFormat="false" ht="15" hidden="false" customHeight="false" outlineLevel="0" collapsed="false">
      <c r="A61" s="73" t="s">
        <v>337</v>
      </c>
      <c r="C61" s="115" t="n">
        <f aca="false">B42+B48+C57+C58+C59</f>
        <v>33891910.9934716</v>
      </c>
      <c r="D61" s="73"/>
    </row>
    <row r="63" customFormat="false" ht="15" hidden="false" customHeight="false" outlineLevel="0" collapsed="false">
      <c r="A63" s="0" t="s">
        <v>338</v>
      </c>
      <c r="B63" s="0" t="s">
        <v>339</v>
      </c>
      <c r="C63" s="0" t="s">
        <v>340</v>
      </c>
    </row>
    <row r="64" customFormat="false" ht="15" hidden="false" customHeight="false" outlineLevel="0" collapsed="false">
      <c r="A64" s="0" t="s">
        <v>341</v>
      </c>
      <c r="B64" s="0" t="n">
        <v>10</v>
      </c>
      <c r="C64" s="115" t="n">
        <f aca="false">B64/100*$C$61</f>
        <v>3389191.09934716</v>
      </c>
    </row>
    <row r="65" customFormat="false" ht="15" hidden="false" customHeight="false" outlineLevel="0" collapsed="false">
      <c r="A65" s="0" t="s">
        <v>342</v>
      </c>
      <c r="B65" s="0" t="n">
        <v>10</v>
      </c>
      <c r="C65" s="115" t="n">
        <f aca="false">B65/100*$C$61</f>
        <v>3389191.09934716</v>
      </c>
    </row>
    <row r="66" customFormat="false" ht="15" hidden="false" customHeight="false" outlineLevel="0" collapsed="false">
      <c r="A66" s="0" t="s">
        <v>343</v>
      </c>
      <c r="B66" s="0" t="n">
        <v>20</v>
      </c>
      <c r="C66" s="115" t="n">
        <f aca="false">B66/100*$C$61</f>
        <v>6778382.19869433</v>
      </c>
    </row>
    <row r="67" customFormat="false" ht="15" hidden="false" customHeight="false" outlineLevel="0" collapsed="false">
      <c r="A67" s="0" t="s">
        <v>344</v>
      </c>
      <c r="B67" s="0" t="n">
        <v>10</v>
      </c>
      <c r="C67" s="115" t="n">
        <f aca="false">B67/100*$C$61</f>
        <v>3389191.09934716</v>
      </c>
    </row>
    <row r="68" customFormat="false" ht="15" hidden="false" customHeight="false" outlineLevel="0" collapsed="false">
      <c r="A68" s="0" t="s">
        <v>345</v>
      </c>
      <c r="B68" s="0" t="n">
        <v>10</v>
      </c>
      <c r="C68" s="115" t="n">
        <f aca="false">B68/100*$C$61</f>
        <v>3389191.09934716</v>
      </c>
    </row>
    <row r="69" customFormat="false" ht="15" hidden="false" customHeight="false" outlineLevel="0" collapsed="false">
      <c r="C69" s="115"/>
    </row>
    <row r="70" customFormat="false" ht="15" hidden="false" customHeight="false" outlineLevel="0" collapsed="false">
      <c r="A70" s="73" t="s">
        <v>346</v>
      </c>
      <c r="C70" s="115" t="n">
        <f aca="false">SUM(C64:C68)</f>
        <v>20335146.596083</v>
      </c>
      <c r="D70" s="73" t="s">
        <v>321</v>
      </c>
    </row>
    <row r="71" customFormat="false" ht="15" hidden="false" customHeight="false" outlineLevel="0" collapsed="false">
      <c r="A71" s="73" t="s">
        <v>347</v>
      </c>
      <c r="C71" s="115" t="n">
        <f aca="false">C61+C70</f>
        <v>54227057.5895546</v>
      </c>
      <c r="D71" s="73" t="s">
        <v>321</v>
      </c>
    </row>
    <row r="73" customFormat="false" ht="15" hidden="false" customHeight="false" outlineLevel="0" collapsed="false">
      <c r="A73" s="0" t="s">
        <v>12</v>
      </c>
      <c r="C73" s="115" t="n">
        <f aca="false">1800000/4</f>
        <v>450000</v>
      </c>
      <c r="D73" s="0" t="s">
        <v>666</v>
      </c>
    </row>
    <row r="74" customFormat="false" ht="15" hidden="false" customHeight="false" outlineLevel="0" collapsed="false">
      <c r="A74" s="0" t="s">
        <v>349</v>
      </c>
      <c r="C74" s="115" t="n">
        <f aca="false">D74/100*C71</f>
        <v>2711352.87947773</v>
      </c>
      <c r="D74" s="0" t="n">
        <v>5</v>
      </c>
      <c r="E74" s="0" t="s">
        <v>350</v>
      </c>
      <c r="P74" s="116"/>
    </row>
    <row r="75" customFormat="false" ht="15" hidden="false" customHeight="false" outlineLevel="0" collapsed="false">
      <c r="P75" s="116"/>
    </row>
    <row r="76" customFormat="false" ht="15" hidden="false" customHeight="false" outlineLevel="0" collapsed="false">
      <c r="A76" s="107" t="s">
        <v>351</v>
      </c>
      <c r="C76" s="117" t="n">
        <f aca="false">C71+C73+C74</f>
        <v>57388410.4690323</v>
      </c>
      <c r="D76" s="118" t="s">
        <v>352</v>
      </c>
      <c r="P76" s="116"/>
    </row>
    <row r="77" customFormat="false" ht="15" hidden="false" customHeight="false" outlineLevel="0" collapsed="false">
      <c r="A77" s="107" t="s">
        <v>353</v>
      </c>
      <c r="C77" s="117" t="n">
        <f aca="false">B43+B49</f>
        <v>0</v>
      </c>
      <c r="D77" s="118" t="s">
        <v>354</v>
      </c>
      <c r="E77" s="0" t="s">
        <v>355</v>
      </c>
      <c r="P77" s="116"/>
    </row>
    <row r="78" customFormat="false" ht="15" hidden="false" customHeight="false" outlineLevel="0" collapsed="false">
      <c r="P78" s="116"/>
    </row>
    <row r="79" customFormat="false" ht="15" hidden="false" customHeight="false" outlineLevel="0" collapsed="false">
      <c r="A79" s="107" t="s">
        <v>356</v>
      </c>
      <c r="C79" s="117" t="n">
        <f aca="false">B44</f>
        <v>905909.653766392</v>
      </c>
      <c r="D79" s="118" t="s">
        <v>326</v>
      </c>
      <c r="P79" s="116"/>
    </row>
    <row r="80" customFormat="false" ht="15" hidden="false" customHeight="false" outlineLevel="0" collapsed="false">
      <c r="A80" s="107" t="s">
        <v>357</v>
      </c>
      <c r="C80" s="117" t="n">
        <f aca="false">B45+B51</f>
        <v>0</v>
      </c>
      <c r="D80" s="118" t="s">
        <v>326</v>
      </c>
    </row>
    <row r="81" s="13" customFormat="true" ht="15" hidden="false" customHeight="false" outlineLevel="0" collapsed="false"/>
    <row r="82" customFormat="false" ht="15" hidden="false" customHeight="false" outlineLevel="0" collapsed="false">
      <c r="A82" s="107" t="s">
        <v>358</v>
      </c>
    </row>
    <row r="83" customFormat="false" ht="15" hidden="false" customHeight="false" outlineLevel="0" collapsed="false">
      <c r="A83" s="14" t="s">
        <v>359</v>
      </c>
      <c r="B83" s="16"/>
      <c r="C83" s="16"/>
      <c r="D83" s="16"/>
      <c r="E83" s="16"/>
      <c r="F83" s="16"/>
      <c r="G83" s="16"/>
      <c r="H83" s="16"/>
      <c r="I83" s="16"/>
      <c r="J83" s="16"/>
    </row>
    <row r="84" customFormat="false" ht="15" hidden="false" customHeight="false" outlineLevel="0" collapsed="false">
      <c r="A84" s="0" t="s">
        <v>360</v>
      </c>
      <c r="B84" s="0" t="s">
        <v>361</v>
      </c>
      <c r="C84" s="0" t="s">
        <v>362</v>
      </c>
      <c r="D84" s="0" t="s">
        <v>363</v>
      </c>
      <c r="E84" s="0" t="s">
        <v>19</v>
      </c>
    </row>
    <row r="85" customFormat="false" ht="15" hidden="false" customHeight="false" outlineLevel="0" collapsed="false">
      <c r="A85" s="0" t="s">
        <v>364</v>
      </c>
      <c r="B85" s="0" t="n">
        <v>50743</v>
      </c>
      <c r="C85" s="0" t="n">
        <v>1</v>
      </c>
      <c r="D85" s="116" t="n">
        <f aca="false">B85*C85</f>
        <v>50743</v>
      </c>
      <c r="E85" s="0" t="s">
        <v>365</v>
      </c>
      <c r="F85" s="115"/>
    </row>
    <row r="86" customFormat="false" ht="15" hidden="false" customHeight="false" outlineLevel="0" collapsed="false">
      <c r="A86" s="119" t="s">
        <v>366</v>
      </c>
      <c r="B86" s="119" t="n">
        <v>42286</v>
      </c>
      <c r="C86" s="119" t="n">
        <v>4</v>
      </c>
      <c r="D86" s="120" t="n">
        <f aca="false">B86*C86</f>
        <v>169144</v>
      </c>
      <c r="F86" s="115"/>
    </row>
    <row r="87" customFormat="false" ht="15" hidden="false" customHeight="false" outlineLevel="0" collapsed="false">
      <c r="A87" s="0" t="s">
        <v>367</v>
      </c>
      <c r="D87" s="116" t="n">
        <f aca="false">SUM(D85:D86)</f>
        <v>219887</v>
      </c>
    </row>
    <row r="88" customFormat="false" ht="15" hidden="false" customHeight="false" outlineLevel="0" collapsed="false">
      <c r="A88" s="121" t="s">
        <v>368</v>
      </c>
      <c r="B88" s="121"/>
      <c r="C88" s="121"/>
      <c r="D88" s="122" t="n">
        <f aca="false">0.9*D87</f>
        <v>197898.3</v>
      </c>
    </row>
    <row r="90" customFormat="false" ht="15" hidden="false" customHeight="false" outlineLevel="0" collapsed="false">
      <c r="A90" s="0" t="s">
        <v>369</v>
      </c>
      <c r="B90" s="0" t="n">
        <v>3</v>
      </c>
      <c r="C90" s="0" t="s">
        <v>370</v>
      </c>
      <c r="D90" s="116" t="n">
        <f aca="false">B90/100*B48</f>
        <v>135000</v>
      </c>
    </row>
    <row r="91" customFormat="false" ht="15" hidden="false" customHeight="false" outlineLevel="0" collapsed="false">
      <c r="A91" s="0" t="s">
        <v>371</v>
      </c>
      <c r="B91" s="0" t="n">
        <v>0.7</v>
      </c>
      <c r="C91" s="0" t="s">
        <v>350</v>
      </c>
      <c r="D91" s="116" t="n">
        <f aca="false">B91/100*C71</f>
        <v>379589.403126882</v>
      </c>
    </row>
    <row r="92" customFormat="false" ht="15" hidden="false" customHeight="false" outlineLevel="0" collapsed="false">
      <c r="D92" s="116"/>
    </row>
    <row r="93" customFormat="false" ht="15" hidden="false" customHeight="false" outlineLevel="0" collapsed="false">
      <c r="A93" s="107" t="s">
        <v>372</v>
      </c>
      <c r="D93" s="115" t="n">
        <f aca="false">SUM(D87:D91)</f>
        <v>932374.703126882</v>
      </c>
      <c r="E93" s="118" t="s">
        <v>354</v>
      </c>
    </row>
    <row r="94" customFormat="false" ht="15" hidden="false" customHeight="false" outlineLevel="0" collapsed="false">
      <c r="D94" s="116"/>
    </row>
    <row r="95" s="13" customFormat="true" ht="15" hidden="false" customHeight="false" outlineLevel="0" collapsed="false"/>
    <row r="96" s="112" customFormat="true" ht="15" hidden="false" customHeight="false" outlineLevel="0" collapsed="false">
      <c r="A96" s="107" t="s">
        <v>373</v>
      </c>
    </row>
    <row r="98" customFormat="false" ht="15" hidden="false" customHeight="false" outlineLevel="0" collapsed="false">
      <c r="A98" s="14" t="s">
        <v>374</v>
      </c>
      <c r="B98" s="16"/>
      <c r="C98" s="16"/>
      <c r="D98" s="16"/>
      <c r="E98" s="16"/>
      <c r="F98" s="16"/>
      <c r="G98" s="16"/>
      <c r="H98" s="16"/>
      <c r="I98" s="16"/>
      <c r="J98" s="16"/>
    </row>
    <row r="99" customFormat="false" ht="15" hidden="false" customHeight="false" outlineLevel="0" collapsed="false">
      <c r="A99" s="0" t="s">
        <v>351</v>
      </c>
      <c r="D99" s="115" t="n">
        <v>459800000</v>
      </c>
    </row>
    <row r="100" customFormat="false" ht="15" hidden="false" customHeight="false" outlineLevel="0" collapsed="false">
      <c r="A100" s="0" t="s">
        <v>375</v>
      </c>
      <c r="D100" s="115" t="n">
        <v>14500000</v>
      </c>
    </row>
    <row r="101" customFormat="false" ht="15" hidden="false" customHeight="false" outlineLevel="0" collapsed="false">
      <c r="A101" s="0" t="s">
        <v>376</v>
      </c>
      <c r="D101" s="115" t="n">
        <v>8300000</v>
      </c>
    </row>
    <row r="102" customFormat="false" ht="15" hidden="false" customHeight="false" outlineLevel="0" collapsed="false">
      <c r="A102" s="0" t="s">
        <v>377</v>
      </c>
      <c r="D102" s="115" t="n">
        <v>39300000</v>
      </c>
    </row>
    <row r="104" customFormat="false" ht="15" hidden="false" customHeight="false" outlineLevel="0" collapsed="false">
      <c r="A104" s="0" t="s">
        <v>378</v>
      </c>
      <c r="D104" s="0" t="n">
        <f aca="false">(D100+D101+D102)/D99</f>
        <v>0.135058721183123</v>
      </c>
    </row>
    <row r="106" customFormat="false" ht="15" hidden="false" customHeight="false" outlineLevel="0" collapsed="false">
      <c r="A106" s="14" t="s">
        <v>379</v>
      </c>
      <c r="B106" s="123"/>
      <c r="C106" s="123"/>
      <c r="D106" s="123"/>
      <c r="E106" s="123"/>
      <c r="F106" s="123"/>
      <c r="G106" s="123"/>
      <c r="H106" s="123"/>
      <c r="I106" s="123"/>
      <c r="J106" s="123"/>
    </row>
    <row r="107" customFormat="false" ht="15" hidden="false" customHeight="false" outlineLevel="0" collapsed="false">
      <c r="A107" s="0" t="s">
        <v>351</v>
      </c>
      <c r="D107" s="115" t="n">
        <f aca="false">C76</f>
        <v>57388410.4690323</v>
      </c>
    </row>
    <row r="108" customFormat="false" ht="15" hidden="false" customHeight="false" outlineLevel="0" collapsed="false">
      <c r="A108" s="0" t="s">
        <v>375</v>
      </c>
      <c r="D108" s="115" t="n">
        <f aca="false">ROUND(C71/30,-4)</f>
        <v>1810000</v>
      </c>
    </row>
    <row r="109" customFormat="false" ht="15" hidden="false" customHeight="false" outlineLevel="0" collapsed="false">
      <c r="A109" s="0" t="s">
        <v>380</v>
      </c>
      <c r="D109" s="115" t="n">
        <f aca="false">D104*D107-D108</f>
        <v>5940805.32867966</v>
      </c>
    </row>
  </sheetData>
  <hyperlinks>
    <hyperlink ref="A2" r:id="rId1" display="http://www.nrel.gov/docs/fy14osti/62368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57:AC68 A1"/>
    </sheetView>
  </sheetViews>
  <sheetFormatPr defaultRowHeight="15"/>
  <cols>
    <col collapsed="false" hidden="false" max="1" min="1" style="0" width="58.719387755102"/>
    <col collapsed="false" hidden="false" max="2" min="2" style="0" width="13.7704081632653"/>
    <col collapsed="false" hidden="false" max="3" min="3" style="0" width="13.0918367346939"/>
    <col collapsed="false" hidden="false" max="4" min="4" style="0" width="29.8316326530612"/>
    <col collapsed="false" hidden="false" max="5" min="5" style="0" width="18.4948979591837"/>
    <col collapsed="false" hidden="false" max="6" min="6" style="0" width="12.5561224489796"/>
    <col collapsed="false" hidden="false" max="7" min="7" style="0" width="11.2040816326531"/>
    <col collapsed="false" hidden="false" max="8" min="8" style="0" width="11.0714285714286"/>
    <col collapsed="false" hidden="false" max="9" min="9" style="0" width="10.6632653061225"/>
    <col collapsed="false" hidden="false" max="10" min="10" style="0" width="10.9336734693878"/>
    <col collapsed="false" hidden="false" max="11" min="11" style="0" width="11.0714285714286"/>
    <col collapsed="false" hidden="false" max="34" min="12" style="0" width="10.6632653061225"/>
    <col collapsed="false" hidden="false" max="1025" min="35" style="0" width="8.63775510204082"/>
  </cols>
  <sheetData>
    <row r="1" customFormat="false" ht="27" hidden="false" customHeight="true" outlineLevel="0" collapsed="false">
      <c r="A1" s="8" t="s">
        <v>487</v>
      </c>
    </row>
    <row r="2" customFormat="false" ht="15" hidden="false" customHeight="false" outlineLevel="0" collapsed="false">
      <c r="A2" s="9" t="s">
        <v>279</v>
      </c>
    </row>
    <row r="3" customFormat="false" ht="15" hidden="false" customHeight="false" outlineLevel="0" collapsed="false">
      <c r="A3" s="0" t="s">
        <v>488</v>
      </c>
    </row>
    <row r="4" customFormat="false" ht="15" hidden="false" customHeight="false" outlineLevel="0" collapsed="false">
      <c r="A4" s="0" t="s">
        <v>489</v>
      </c>
    </row>
    <row r="5" customFormat="false" ht="15" hidden="false" customHeight="false" outlineLevel="0" collapsed="false">
      <c r="A5" s="0" t="s">
        <v>490</v>
      </c>
    </row>
    <row r="6" customFormat="false" ht="15" hidden="false" customHeight="false" outlineLevel="0" collapsed="false">
      <c r="A6" s="0" t="s">
        <v>384</v>
      </c>
    </row>
    <row r="7" customFormat="false" ht="15" hidden="false" customHeight="false" outlineLevel="0" collapsed="false">
      <c r="A7" s="11" t="s">
        <v>111</v>
      </c>
      <c r="B7" s="12" t="s">
        <v>385</v>
      </c>
    </row>
    <row r="8" customFormat="false" ht="15" hidden="false" customHeight="false" outlineLevel="0" collapsed="false">
      <c r="A8" s="0" t="s">
        <v>15</v>
      </c>
    </row>
    <row r="9" s="13" customFormat="true" ht="15" hidden="false" customHeight="false" outlineLevel="0" collapsed="false"/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1" customFormat="false" ht="15" hidden="false" customHeight="false" outlineLevel="0" collapsed="false">
      <c r="B11" s="60" t="s">
        <v>114</v>
      </c>
      <c r="C11" s="1" t="s">
        <v>387</v>
      </c>
      <c r="D11" s="60" t="s">
        <v>114</v>
      </c>
      <c r="E11" s="1" t="s">
        <v>388</v>
      </c>
      <c r="H11" s="1"/>
    </row>
    <row r="12" customFormat="false" ht="15" hidden="false" customHeight="false" outlineLevel="0" collapsed="false">
      <c r="A12" s="0" t="s">
        <v>283</v>
      </c>
      <c r="B12" s="0" t="s">
        <v>389</v>
      </c>
      <c r="C12" s="207" t="n">
        <f aca="false">B34*1000/(B35*1000)</f>
        <v>1.35189941868325</v>
      </c>
      <c r="D12" s="0" t="s">
        <v>389</v>
      </c>
      <c r="E12" s="156" t="n">
        <f aca="false">B34*1000/B37</f>
        <v>103.830299758075</v>
      </c>
      <c r="F12" s="0" t="s">
        <v>285</v>
      </c>
      <c r="H12" s="1"/>
    </row>
    <row r="13" customFormat="false" ht="15" hidden="false" customHeight="false" outlineLevel="0" collapsed="false">
      <c r="A13" s="0" t="s">
        <v>286</v>
      </c>
      <c r="B13" s="0" t="s">
        <v>390</v>
      </c>
      <c r="C13" s="208" t="n">
        <f aca="false">C126/B35/1000</f>
        <v>0.00702904712041073</v>
      </c>
      <c r="D13" s="0" t="s">
        <v>390</v>
      </c>
      <c r="E13" s="94" t="n">
        <f aca="false">C126/B37</f>
        <v>0.539853823028296</v>
      </c>
      <c r="F13" s="0" t="s">
        <v>285</v>
      </c>
      <c r="H13" s="127"/>
    </row>
    <row r="14" customFormat="false" ht="15" hidden="false" customHeight="false" outlineLevel="0" collapsed="false">
      <c r="A14" s="0" t="s">
        <v>290</v>
      </c>
      <c r="B14" s="0" t="s">
        <v>391</v>
      </c>
      <c r="C14" s="208" t="n">
        <f aca="false">C127/B35/1000</f>
        <v>0.000171024116561348</v>
      </c>
      <c r="D14" s="0" t="s">
        <v>391</v>
      </c>
      <c r="E14" s="94" t="n">
        <f aca="false">C127/B37</f>
        <v>0.0131352118678478</v>
      </c>
      <c r="F14" s="0" t="s">
        <v>285</v>
      </c>
    </row>
    <row r="15" customFormat="false" ht="15" hidden="false" customHeight="false" outlineLevel="0" collapsed="false">
      <c r="A15" s="16" t="s">
        <v>396</v>
      </c>
      <c r="B15" s="16" t="s">
        <v>397</v>
      </c>
      <c r="C15" s="209" t="n">
        <f aca="false">SUM(C16:C19)</f>
        <v>0.0811971395676763</v>
      </c>
      <c r="D15" s="16" t="s">
        <v>397</v>
      </c>
      <c r="E15" s="210" t="n">
        <f aca="false">SUM(E16:E19)</f>
        <v>6.23620605519724</v>
      </c>
      <c r="F15" s="16" t="s">
        <v>294</v>
      </c>
      <c r="G15" s="16"/>
      <c r="H15" s="127"/>
    </row>
    <row r="16" customFormat="false" ht="15" hidden="false" customHeight="false" outlineLevel="0" collapsed="false">
      <c r="A16" s="0" t="s">
        <v>295</v>
      </c>
      <c r="C16" s="131" t="n">
        <f aca="false">C125/B25/B35/1000</f>
        <v>0.0232598251030628</v>
      </c>
      <c r="E16" s="132" t="n">
        <f aca="false">C125/B25/B37</f>
        <v>1.78643069106702</v>
      </c>
      <c r="G16" s="0" t="s">
        <v>296</v>
      </c>
      <c r="H16" s="127"/>
    </row>
    <row r="17" customFormat="false" ht="15" hidden="false" customHeight="false" outlineLevel="0" collapsed="false">
      <c r="A17" s="0" t="s">
        <v>297</v>
      </c>
      <c r="C17" s="131" t="n">
        <f aca="false">B150/B25/B35/1000</f>
        <v>0.00908942419372611</v>
      </c>
      <c r="E17" s="132" t="n">
        <f aca="false">B150/B25/B37</f>
        <v>0.698097525318936</v>
      </c>
      <c r="H17" s="127"/>
    </row>
    <row r="18" customFormat="false" ht="15" hidden="false" customHeight="false" outlineLevel="0" collapsed="false">
      <c r="A18" s="0" t="s">
        <v>298</v>
      </c>
      <c r="C18" s="131" t="n">
        <f aca="false">B164/B25/B35/1000</f>
        <v>0.0114128999488057</v>
      </c>
      <c r="E18" s="132" t="n">
        <f aca="false">B164/B25/B37</f>
        <v>0.876548067420296</v>
      </c>
      <c r="H18" s="106"/>
    </row>
    <row r="19" customFormat="false" ht="15" hidden="false" customHeight="false" outlineLevel="0" collapsed="false">
      <c r="A19" s="0" t="s">
        <v>299</v>
      </c>
      <c r="C19" s="131" t="n">
        <f aca="false">B165/B25/B35/1000</f>
        <v>0.0374349903220817</v>
      </c>
      <c r="E19" s="132" t="n">
        <f aca="false">B165/B25/B37</f>
        <v>2.87512977139099</v>
      </c>
    </row>
    <row r="20" customFormat="false" ht="15" hidden="false" customHeight="false" outlineLevel="0" collapsed="false">
      <c r="D20" s="106"/>
    </row>
    <row r="22" s="13" customFormat="true" ht="15" hidden="false" customHeight="false" outlineLevel="0" collapsed="false">
      <c r="I22" s="133"/>
    </row>
    <row r="23" customFormat="false" ht="15" hidden="false" customHeight="false" outlineLevel="0" collapsed="false">
      <c r="A23" s="107" t="s">
        <v>300</v>
      </c>
      <c r="I23" s="109"/>
    </row>
    <row r="24" customFormat="false" ht="15" hidden="false" customHeight="false" outlineLevel="0" collapsed="false">
      <c r="A24" s="107"/>
      <c r="I24" s="109"/>
    </row>
    <row r="25" customFormat="false" ht="15" hidden="false" customHeight="false" outlineLevel="0" collapsed="false">
      <c r="A25" s="73" t="s">
        <v>301</v>
      </c>
      <c r="B25" s="109" t="n">
        <v>3.29427384524826</v>
      </c>
      <c r="I25" s="109"/>
    </row>
    <row r="26" customFormat="false" ht="15" hidden="false" customHeight="false" outlineLevel="0" collapsed="false">
      <c r="I26" s="109"/>
    </row>
    <row r="27" customFormat="false" ht="15" hidden="false" customHeight="false" outlineLevel="0" collapsed="false">
      <c r="A27" s="0" t="s">
        <v>302</v>
      </c>
      <c r="B27" s="0" t="n">
        <v>1215</v>
      </c>
      <c r="C27" s="0" t="s">
        <v>398</v>
      </c>
      <c r="D27" s="0" t="s">
        <v>304</v>
      </c>
      <c r="I27" s="109"/>
    </row>
    <row r="28" customFormat="false" ht="15" hidden="false" customHeight="false" outlineLevel="0" collapsed="false">
      <c r="A28" s="0" t="s">
        <v>305</v>
      </c>
      <c r="B28" s="0" t="n">
        <v>0.9</v>
      </c>
      <c r="C28" s="0" t="s">
        <v>306</v>
      </c>
      <c r="I28" s="109"/>
    </row>
    <row r="29" customFormat="false" ht="15" hidden="false" customHeight="false" outlineLevel="0" collapsed="false">
      <c r="A29" s="0" t="s">
        <v>307</v>
      </c>
      <c r="B29" s="0" t="n">
        <f aca="false">B27*1000/24/B28</f>
        <v>56250</v>
      </c>
      <c r="C29" s="0" t="s">
        <v>308</v>
      </c>
      <c r="D29" s="0" t="s">
        <v>309</v>
      </c>
      <c r="I29" s="109"/>
    </row>
    <row r="30" customFormat="false" ht="15" hidden="false" customHeight="false" outlineLevel="0" collapsed="false">
      <c r="A30" s="0" t="s">
        <v>400</v>
      </c>
      <c r="B30" s="112" t="n">
        <v>0.274</v>
      </c>
      <c r="C30" s="0" t="s">
        <v>306</v>
      </c>
      <c r="D30" s="0" t="s">
        <v>493</v>
      </c>
      <c r="I30" s="109"/>
    </row>
    <row r="31" customFormat="false" ht="15" hidden="false" customHeight="false" outlineLevel="0" collapsed="false">
      <c r="A31" s="0" t="s">
        <v>402</v>
      </c>
      <c r="B31" s="0" t="n">
        <v>0.95</v>
      </c>
      <c r="C31" s="0" t="s">
        <v>306</v>
      </c>
      <c r="D31" s="0" t="s">
        <v>494</v>
      </c>
      <c r="I31" s="109"/>
    </row>
    <row r="32" customFormat="false" ht="15" hidden="false" customHeight="false" outlineLevel="0" collapsed="false">
      <c r="A32" s="0" t="s">
        <v>403</v>
      </c>
      <c r="B32" s="0" t="n">
        <v>37</v>
      </c>
      <c r="C32" s="0" t="s">
        <v>404</v>
      </c>
      <c r="D32" s="0" t="s">
        <v>405</v>
      </c>
      <c r="I32" s="109"/>
    </row>
    <row r="33" customFormat="false" ht="15" hidden="false" customHeight="false" outlineLevel="0" collapsed="false">
      <c r="A33" s="0" t="s">
        <v>312</v>
      </c>
      <c r="B33" s="37" t="n">
        <f aca="false">2229*E33</f>
        <v>2022.115365</v>
      </c>
      <c r="C33" s="0" t="s">
        <v>406</v>
      </c>
      <c r="D33" s="0" t="s">
        <v>314</v>
      </c>
      <c r="E33" s="0" t="n">
        <v>0.907185</v>
      </c>
      <c r="F33" s="0" t="s">
        <v>408</v>
      </c>
      <c r="I33" s="109"/>
    </row>
    <row r="34" customFormat="false" ht="15" hidden="false" customHeight="false" outlineLevel="0" collapsed="false">
      <c r="A34" s="0" t="s">
        <v>409</v>
      </c>
      <c r="B34" s="135" t="n">
        <f aca="false">B27*365*B28</f>
        <v>399127.5</v>
      </c>
      <c r="C34" s="0" t="s">
        <v>410</v>
      </c>
      <c r="I34" s="109"/>
    </row>
    <row r="35" customFormat="false" ht="15" hidden="false" customHeight="false" outlineLevel="0" collapsed="false">
      <c r="A35" s="0" t="s">
        <v>411</v>
      </c>
      <c r="B35" s="135" t="n">
        <f aca="false">B27*365*B28*(1-B30*B31)</f>
        <v>295234.61175</v>
      </c>
      <c r="C35" s="0" t="s">
        <v>410</v>
      </c>
      <c r="I35" s="109"/>
    </row>
    <row r="36" customFormat="false" ht="15" hidden="false" customHeight="false" outlineLevel="0" collapsed="false">
      <c r="A36" s="0" t="s">
        <v>412</v>
      </c>
      <c r="B36" s="135" t="n">
        <f aca="false">B27*365*B28*B30*B31</f>
        <v>103892.88825</v>
      </c>
      <c r="C36" s="0" t="s">
        <v>410</v>
      </c>
      <c r="I36" s="109"/>
    </row>
    <row r="37" customFormat="false" ht="15" hidden="false" customHeight="false" outlineLevel="0" collapsed="false">
      <c r="A37" s="0" t="s">
        <v>413</v>
      </c>
      <c r="B37" s="135" t="n">
        <f aca="false">B36*B32</f>
        <v>3844036.86525</v>
      </c>
      <c r="C37" s="0" t="s">
        <v>326</v>
      </c>
      <c r="I37" s="109"/>
    </row>
    <row r="38" customFormat="false" ht="15" hidden="false" customHeight="false" outlineLevel="0" collapsed="false">
      <c r="C38" s="63"/>
    </row>
    <row r="39" s="13" customFormat="true" ht="15" hidden="false" customHeight="false" outlineLevel="0" collapsed="false">
      <c r="L39" s="110"/>
      <c r="O39" s="34"/>
    </row>
    <row r="40" s="112" customFormat="true" ht="15" hidden="false" customHeight="false" outlineLevel="0" collapsed="false">
      <c r="A40" s="111" t="s">
        <v>315</v>
      </c>
      <c r="L40" s="113"/>
      <c r="O40" s="114"/>
    </row>
    <row r="41" s="112" customFormat="true" ht="15" hidden="false" customHeight="false" outlineLevel="0" collapsed="false">
      <c r="A41" s="0"/>
      <c r="L41" s="113"/>
      <c r="O41" s="114"/>
    </row>
    <row r="42" customFormat="false" ht="15" hidden="false" customHeight="false" outlineLevel="0" collapsed="false">
      <c r="A42" s="14" t="s">
        <v>495</v>
      </c>
      <c r="B42" s="14"/>
      <c r="C42" s="14"/>
      <c r="D42" s="14"/>
      <c r="E42" s="16"/>
      <c r="F42" s="16"/>
      <c r="G42" s="16"/>
      <c r="H42" s="16"/>
      <c r="I42" s="16"/>
      <c r="J42" s="16"/>
      <c r="L42" s="39"/>
    </row>
    <row r="43" customFormat="false" ht="15" hidden="false" customHeight="false" outlineLevel="0" collapsed="false">
      <c r="A43" s="73" t="s">
        <v>496</v>
      </c>
      <c r="J43" s="61"/>
      <c r="L43" s="39"/>
    </row>
    <row r="44" customFormat="false" ht="15" hidden="false" customHeight="false" outlineLevel="0" collapsed="false">
      <c r="A44" s="0" t="s">
        <v>497</v>
      </c>
      <c r="B44" s="116" t="n">
        <v>18612122</v>
      </c>
      <c r="C44" s="0" t="s">
        <v>321</v>
      </c>
      <c r="D44" s="0" t="s">
        <v>498</v>
      </c>
      <c r="J44" s="61"/>
      <c r="L44" s="39"/>
    </row>
    <row r="45" customFormat="false" ht="15" hidden="false" customHeight="false" outlineLevel="0" collapsed="false">
      <c r="A45" s="0" t="s">
        <v>499</v>
      </c>
      <c r="B45" s="0" t="n">
        <v>32872</v>
      </c>
      <c r="C45" s="0" t="s">
        <v>500</v>
      </c>
      <c r="D45" s="0" t="s">
        <v>498</v>
      </c>
      <c r="J45" s="61"/>
      <c r="L45" s="39"/>
    </row>
    <row r="46" customFormat="false" ht="15" hidden="false" customHeight="false" outlineLevel="0" collapsed="false">
      <c r="A46" s="0" t="s">
        <v>501</v>
      </c>
      <c r="B46" s="37" t="n">
        <f aca="false">B29*(1-B31*B30)</f>
        <v>41608.125</v>
      </c>
      <c r="C46" s="0" t="s">
        <v>500</v>
      </c>
      <c r="D46" s="0" t="s">
        <v>502</v>
      </c>
      <c r="J46" s="61"/>
      <c r="L46" s="39"/>
    </row>
    <row r="47" customFormat="false" ht="15" hidden="false" customHeight="false" outlineLevel="0" collapsed="false">
      <c r="A47" s="0" t="s">
        <v>503</v>
      </c>
      <c r="B47" s="0" t="n">
        <v>0.8</v>
      </c>
      <c r="D47" s="0" t="s">
        <v>498</v>
      </c>
      <c r="J47" s="61"/>
      <c r="L47" s="39"/>
    </row>
    <row r="48" customFormat="false" ht="15" hidden="false" customHeight="false" outlineLevel="0" collapsed="false">
      <c r="A48" s="0" t="s">
        <v>504</v>
      </c>
      <c r="B48" s="116" t="n">
        <f aca="false">B44*(B46/B45)^B47</f>
        <v>22473851.3726952</v>
      </c>
      <c r="C48" s="0" t="s">
        <v>321</v>
      </c>
      <c r="D48" s="0" t="s">
        <v>505</v>
      </c>
      <c r="F48" s="61"/>
      <c r="G48" s="61"/>
      <c r="H48" s="61"/>
      <c r="I48" s="61"/>
      <c r="J48" s="61"/>
      <c r="L48" s="39"/>
    </row>
    <row r="49" customFormat="false" ht="15" hidden="false" customHeight="false" outlineLevel="0" collapsed="false">
      <c r="E49" s="61"/>
      <c r="F49" s="61"/>
      <c r="G49" s="61"/>
      <c r="H49" s="61"/>
      <c r="I49" s="61"/>
    </row>
    <row r="50" customFormat="false" ht="15" hidden="false" customHeight="false" outlineLevel="0" collapsed="false">
      <c r="A50" s="0" t="s">
        <v>320</v>
      </c>
      <c r="B50" s="115" t="n">
        <f aca="false">B48+B44</f>
        <v>41085973.3726952</v>
      </c>
      <c r="C50" s="138" t="s">
        <v>352</v>
      </c>
      <c r="D50" s="0" t="s">
        <v>506</v>
      </c>
    </row>
    <row r="51" customFormat="false" ht="15" hidden="false" customHeight="false" outlineLevel="0" collapsed="false">
      <c r="A51" s="0" t="s">
        <v>323</v>
      </c>
      <c r="B51" s="112" t="n">
        <v>0</v>
      </c>
      <c r="C51" s="0" t="s">
        <v>419</v>
      </c>
      <c r="D51" s="0" t="s">
        <v>507</v>
      </c>
    </row>
    <row r="52" customFormat="false" ht="15" hidden="false" customHeight="false" outlineLevel="0" collapsed="false">
      <c r="A52" s="0" t="s">
        <v>325</v>
      </c>
      <c r="B52" s="37" t="n">
        <f aca="false">(B60+B59)*(1.05506*10^(-6))</f>
        <v>1621612.70788404</v>
      </c>
      <c r="C52" s="0" t="s">
        <v>326</v>
      </c>
    </row>
    <row r="53" customFormat="false" ht="15" hidden="false" customHeight="false" outlineLevel="0" collapsed="false">
      <c r="A53" s="0" t="s">
        <v>327</v>
      </c>
      <c r="B53" s="0" t="n">
        <v>0</v>
      </c>
      <c r="C53" s="0" t="s">
        <v>326</v>
      </c>
      <c r="D53" s="0" t="s">
        <v>508</v>
      </c>
    </row>
    <row r="55" customFormat="false" ht="15" hidden="false" customHeight="false" outlineLevel="0" collapsed="false">
      <c r="A55" s="73" t="s">
        <v>509</v>
      </c>
    </row>
    <row r="56" customFormat="false" ht="15" hidden="false" customHeight="false" outlineLevel="0" collapsed="false">
      <c r="A56" s="0" t="s">
        <v>510</v>
      </c>
      <c r="B56" s="116" t="n">
        <f aca="false">3.72*10^6</f>
        <v>3720000</v>
      </c>
      <c r="C56" s="0" t="s">
        <v>324</v>
      </c>
      <c r="I56" s="61"/>
      <c r="J56" s="61"/>
      <c r="K56" s="61"/>
      <c r="L56" s="61"/>
    </row>
    <row r="57" customFormat="false" ht="15" hidden="false" customHeight="false" outlineLevel="0" collapsed="false">
      <c r="A57" s="0" t="s">
        <v>511</v>
      </c>
      <c r="B57" s="0" t="n">
        <v>5.1</v>
      </c>
      <c r="C57" s="0" t="s">
        <v>512</v>
      </c>
      <c r="I57" s="61"/>
      <c r="J57" s="61"/>
      <c r="K57" s="61"/>
      <c r="L57" s="61"/>
    </row>
    <row r="58" customFormat="false" ht="15" hidden="false" customHeight="false" outlineLevel="0" collapsed="false">
      <c r="A58" s="0" t="s">
        <v>513</v>
      </c>
      <c r="B58" s="0" t="n">
        <v>930</v>
      </c>
      <c r="C58" s="0" t="s">
        <v>514</v>
      </c>
      <c r="I58" s="61"/>
      <c r="J58" s="61"/>
      <c r="K58" s="61"/>
      <c r="L58" s="61"/>
    </row>
    <row r="59" customFormat="false" ht="15" hidden="false" customHeight="false" outlineLevel="0" collapsed="false">
      <c r="B59" s="0" t="n">
        <f aca="false">B56/B57*1000*B58</f>
        <v>678352941176.471</v>
      </c>
      <c r="C59" s="0" t="s">
        <v>318</v>
      </c>
      <c r="I59" s="61"/>
      <c r="J59" s="61"/>
      <c r="K59" s="61"/>
      <c r="L59" s="61"/>
    </row>
    <row r="60" customFormat="false" ht="15" hidden="false" customHeight="false" outlineLevel="0" collapsed="false">
      <c r="A60" s="0" t="s">
        <v>515</v>
      </c>
      <c r="B60" s="0" t="n">
        <f aca="false">B59*B46/B45</f>
        <v>858633304045.639</v>
      </c>
      <c r="C60" s="0" t="s">
        <v>318</v>
      </c>
      <c r="I60" s="61"/>
      <c r="J60" s="61"/>
      <c r="K60" s="61"/>
      <c r="L60" s="61"/>
    </row>
    <row r="64" customFormat="false" ht="15" hidden="false" customHeight="false" outlineLevel="0" collapsed="false">
      <c r="A64" s="14" t="s">
        <v>516</v>
      </c>
      <c r="B64" s="14"/>
      <c r="C64" s="14"/>
      <c r="D64" s="14"/>
      <c r="E64" s="16"/>
      <c r="F64" s="16"/>
      <c r="G64" s="16"/>
      <c r="H64" s="16"/>
      <c r="I64" s="16"/>
      <c r="J64" s="16"/>
    </row>
    <row r="65" customFormat="false" ht="15" hidden="false" customHeight="false" outlineLevel="0" collapsed="false">
      <c r="A65" s="0" t="s">
        <v>320</v>
      </c>
      <c r="B65" s="115" t="n">
        <f aca="false">B74*(B72/B71)^B73</f>
        <v>132119431.079129</v>
      </c>
      <c r="C65" s="138" t="s">
        <v>352</v>
      </c>
    </row>
    <row r="66" customFormat="false" ht="15" hidden="false" customHeight="false" outlineLevel="0" collapsed="false">
      <c r="A66" s="0" t="s">
        <v>323</v>
      </c>
      <c r="B66" s="142" t="n">
        <f aca="false">(8.58+0.25+0.36+0.22)*B72/B71</f>
        <v>22.6221258227199</v>
      </c>
      <c r="C66" s="0" t="s">
        <v>419</v>
      </c>
      <c r="D66" s="0" t="s">
        <v>433</v>
      </c>
    </row>
    <row r="67" customFormat="false" ht="15" hidden="false" customHeight="false" outlineLevel="0" collapsed="false">
      <c r="A67" s="0" t="s">
        <v>325</v>
      </c>
      <c r="B67" s="155" t="n">
        <f aca="false">B81</f>
        <v>453605.289682879</v>
      </c>
      <c r="C67" s="0" t="s">
        <v>326</v>
      </c>
      <c r="J67" s="1"/>
    </row>
    <row r="68" customFormat="false" ht="15" hidden="false" customHeight="false" outlineLevel="0" collapsed="false">
      <c r="A68" s="0" t="s">
        <v>327</v>
      </c>
      <c r="B68" s="37" t="n">
        <f aca="false">B76*24*365*B28*3.6</f>
        <v>50492.2386528763</v>
      </c>
      <c r="C68" s="0" t="s">
        <v>326</v>
      </c>
    </row>
    <row r="69" customFormat="false" ht="15" hidden="false" customHeight="false" outlineLevel="0" collapsed="false">
      <c r="B69" s="37"/>
    </row>
    <row r="70" customFormat="false" ht="15" hidden="false" customHeight="false" outlineLevel="0" collapsed="false">
      <c r="A70" s="73" t="s">
        <v>434</v>
      </c>
    </row>
    <row r="71" customFormat="false" ht="15" hidden="false" customHeight="false" outlineLevel="0" collapsed="false">
      <c r="A71" s="0" t="s">
        <v>435</v>
      </c>
      <c r="B71" s="0" t="n">
        <v>23398</v>
      </c>
      <c r="C71" s="0" t="s">
        <v>308</v>
      </c>
      <c r="D71" s="0" t="s">
        <v>436</v>
      </c>
    </row>
    <row r="72" customFormat="false" ht="15" hidden="false" customHeight="false" outlineLevel="0" collapsed="false">
      <c r="A72" s="0" t="s">
        <v>437</v>
      </c>
      <c r="B72" s="37" t="n">
        <f aca="false">B29</f>
        <v>56250</v>
      </c>
      <c r="C72" s="0" t="s">
        <v>308</v>
      </c>
      <c r="D72" s="0" t="s">
        <v>438</v>
      </c>
    </row>
    <row r="73" customFormat="false" ht="15" hidden="false" customHeight="false" outlineLevel="0" collapsed="false">
      <c r="A73" s="0" t="s">
        <v>439</v>
      </c>
      <c r="B73" s="0" t="n">
        <v>0.7</v>
      </c>
      <c r="C73" s="0" t="s">
        <v>306</v>
      </c>
      <c r="D73" s="0" t="s">
        <v>440</v>
      </c>
    </row>
    <row r="74" customFormat="false" ht="15" hidden="false" customHeight="false" outlineLevel="0" collapsed="false">
      <c r="A74" s="0" t="s">
        <v>441</v>
      </c>
      <c r="B74" s="116" t="n">
        <v>71500000</v>
      </c>
      <c r="C74" s="0" t="s">
        <v>321</v>
      </c>
      <c r="D74" s="0" t="s">
        <v>329</v>
      </c>
    </row>
    <row r="75" customFormat="false" ht="15" hidden="false" customHeight="false" outlineLevel="0" collapsed="false">
      <c r="A75" s="0" t="s">
        <v>442</v>
      </c>
      <c r="B75" s="0" t="n">
        <f aca="false">18.5*0.04</f>
        <v>0.74</v>
      </c>
      <c r="C75" s="0" t="s">
        <v>517</v>
      </c>
      <c r="D75" s="0" t="s">
        <v>518</v>
      </c>
    </row>
    <row r="76" customFormat="false" ht="15" hidden="false" customHeight="false" outlineLevel="0" collapsed="false">
      <c r="A76" s="0" t="s">
        <v>445</v>
      </c>
      <c r="B76" s="28" t="n">
        <f aca="false">B75*B72/B71</f>
        <v>1.77899820497478</v>
      </c>
      <c r="C76" s="0" t="s">
        <v>517</v>
      </c>
    </row>
    <row r="77" customFormat="false" ht="15" hidden="false" customHeight="false" outlineLevel="0" collapsed="false">
      <c r="B77" s="28"/>
    </row>
    <row r="78" customFormat="false" ht="15" hidden="false" customHeight="false" outlineLevel="0" collapsed="false">
      <c r="A78" s="73" t="s">
        <v>447</v>
      </c>
    </row>
    <row r="79" customFormat="false" ht="15" hidden="false" customHeight="false" outlineLevel="0" collapsed="false">
      <c r="A79" s="0" t="s">
        <v>448</v>
      </c>
      <c r="B79" s="0" t="n">
        <v>5.72</v>
      </c>
      <c r="C79" s="0" t="s">
        <v>519</v>
      </c>
      <c r="D79" s="0" t="s">
        <v>520</v>
      </c>
    </row>
    <row r="80" customFormat="false" ht="15" hidden="false" customHeight="false" outlineLevel="0" collapsed="false">
      <c r="A80" s="0" t="s">
        <v>451</v>
      </c>
      <c r="B80" s="28" t="n">
        <f aca="false">B79*(B27/B28*1000/24)/B71</f>
        <v>13.7511753141294</v>
      </c>
      <c r="C80" s="0" t="s">
        <v>519</v>
      </c>
    </row>
    <row r="81" customFormat="false" ht="15" hidden="false" customHeight="false" outlineLevel="0" collapsed="false">
      <c r="A81" s="0" t="s">
        <v>451</v>
      </c>
      <c r="B81" s="37" t="n">
        <f aca="false">B80*24*365*B28*4.184</f>
        <v>453605.289682879</v>
      </c>
      <c r="C81" s="0" t="s">
        <v>326</v>
      </c>
      <c r="D81" s="116" t="n">
        <f aca="false">B81*947817/B58/1000*B57</f>
        <v>2357706.99434615</v>
      </c>
      <c r="E81" s="0" t="s">
        <v>324</v>
      </c>
    </row>
    <row r="83" customFormat="false" ht="15" hidden="false" customHeight="false" outlineLevel="0" collapsed="false">
      <c r="A83" s="73" t="s">
        <v>521</v>
      </c>
    </row>
    <row r="84" customFormat="false" ht="15" hidden="false" customHeight="false" outlineLevel="0" collapsed="false">
      <c r="A84" s="0" t="s">
        <v>522</v>
      </c>
      <c r="B84" s="116" t="n">
        <f aca="false">8.58*10^6</f>
        <v>8580000</v>
      </c>
      <c r="C84" s="0" t="s">
        <v>324</v>
      </c>
      <c r="D84" s="0" t="s">
        <v>330</v>
      </c>
    </row>
    <row r="85" customFormat="false" ht="15" hidden="false" customHeight="false" outlineLevel="0" collapsed="false">
      <c r="A85" s="0" t="s">
        <v>457</v>
      </c>
      <c r="B85" s="116" t="n">
        <f aca="false">B84*B72/B71</f>
        <v>20626762.9711941</v>
      </c>
      <c r="C85" s="0" t="s">
        <v>324</v>
      </c>
    </row>
    <row r="86" customFormat="false" ht="15" hidden="false" customHeight="false" outlineLevel="0" collapsed="false">
      <c r="A86" s="5" t="s">
        <v>462</v>
      </c>
      <c r="B86" s="5" t="n">
        <v>0.5394</v>
      </c>
      <c r="C86" s="5" t="s">
        <v>463</v>
      </c>
      <c r="D86" s="5" t="s">
        <v>523</v>
      </c>
    </row>
    <row r="87" customFormat="false" ht="15" hidden="false" customHeight="false" outlineLevel="0" collapsed="false">
      <c r="A87" s="5" t="s">
        <v>465</v>
      </c>
      <c r="B87" s="0" t="n">
        <f aca="false">B85/B86*0.4536</f>
        <v>17345753.9557539</v>
      </c>
      <c r="C87" s="5" t="s">
        <v>461</v>
      </c>
    </row>
    <row r="88" customFormat="false" ht="15" hidden="false" customHeight="false" outlineLevel="0" collapsed="false">
      <c r="B88" s="116"/>
    </row>
    <row r="89" customFormat="false" ht="15" hidden="false" customHeight="false" outlineLevel="0" collapsed="false">
      <c r="B89" s="116"/>
    </row>
    <row r="90" customFormat="false" ht="15" hidden="false" customHeight="false" outlineLevel="0" collapsed="false">
      <c r="A90" s="14" t="s">
        <v>524</v>
      </c>
      <c r="B90" s="14"/>
      <c r="C90" s="14"/>
      <c r="D90" s="14"/>
      <c r="E90" s="16"/>
      <c r="F90" s="16"/>
      <c r="G90" s="16"/>
      <c r="H90" s="16"/>
      <c r="I90" s="16"/>
      <c r="J90" s="16"/>
    </row>
    <row r="91" customFormat="false" ht="15" hidden="false" customHeight="false" outlineLevel="0" collapsed="false">
      <c r="A91" s="0" t="s">
        <v>320</v>
      </c>
      <c r="B91" s="115" t="n">
        <v>4500000</v>
      </c>
      <c r="C91" s="138" t="s">
        <v>352</v>
      </c>
      <c r="D91" s="0" t="s">
        <v>329</v>
      </c>
    </row>
    <row r="92" customFormat="false" ht="15" hidden="false" customHeight="false" outlineLevel="0" collapsed="false">
      <c r="A92" s="0" t="s">
        <v>323</v>
      </c>
      <c r="B92" s="0" t="n">
        <v>0</v>
      </c>
      <c r="C92" s="0" t="s">
        <v>419</v>
      </c>
      <c r="D92" s="0" t="s">
        <v>330</v>
      </c>
    </row>
    <row r="93" customFormat="false" ht="15" hidden="false" customHeight="false" outlineLevel="0" collapsed="false">
      <c r="A93" s="0" t="s">
        <v>325</v>
      </c>
      <c r="B93" s="0" t="n">
        <v>0</v>
      </c>
      <c r="C93" s="0" t="s">
        <v>326</v>
      </c>
    </row>
    <row r="94" customFormat="false" ht="15" hidden="false" customHeight="false" outlineLevel="0" collapsed="false">
      <c r="A94" s="0" t="s">
        <v>327</v>
      </c>
      <c r="B94" s="0" t="n">
        <v>0</v>
      </c>
      <c r="C94" s="0" t="s">
        <v>326</v>
      </c>
    </row>
    <row r="96" customFormat="false" ht="15" hidden="false" customHeight="false" outlineLevel="0" collapsed="false">
      <c r="A96" s="14" t="s">
        <v>525</v>
      </c>
      <c r="B96" s="16"/>
      <c r="C96" s="16"/>
      <c r="D96" s="16"/>
      <c r="E96" s="16"/>
      <c r="F96" s="16"/>
      <c r="G96" s="16"/>
      <c r="H96" s="16"/>
      <c r="I96" s="16"/>
      <c r="J96" s="16"/>
    </row>
    <row r="97" customFormat="false" ht="15" hidden="false" customHeight="false" outlineLevel="0" collapsed="false">
      <c r="A97" s="0" t="s">
        <v>320</v>
      </c>
      <c r="B97" s="115" t="n">
        <v>5700000</v>
      </c>
      <c r="C97" s="138" t="s">
        <v>352</v>
      </c>
      <c r="D97" s="0" t="s">
        <v>329</v>
      </c>
    </row>
    <row r="98" customFormat="false" ht="15" hidden="false" customHeight="false" outlineLevel="0" collapsed="false">
      <c r="A98" s="0" t="s">
        <v>323</v>
      </c>
      <c r="B98" s="0" t="n">
        <v>0.2</v>
      </c>
      <c r="C98" s="0" t="s">
        <v>419</v>
      </c>
      <c r="D98" s="0" t="s">
        <v>526</v>
      </c>
    </row>
    <row r="99" customFormat="false" ht="15" hidden="false" customHeight="false" outlineLevel="0" collapsed="false">
      <c r="A99" s="0" t="s">
        <v>325</v>
      </c>
      <c r="B99" s="0" t="n">
        <v>0</v>
      </c>
      <c r="C99" s="0" t="s">
        <v>326</v>
      </c>
      <c r="D99" s="0" t="s">
        <v>527</v>
      </c>
    </row>
    <row r="100" customFormat="false" ht="15" hidden="false" customHeight="false" outlineLevel="0" collapsed="false">
      <c r="A100" s="0" t="s">
        <v>327</v>
      </c>
      <c r="B100" s="0" t="n">
        <v>0</v>
      </c>
      <c r="C100" s="0" t="s">
        <v>326</v>
      </c>
      <c r="D100" s="0" t="s">
        <v>527</v>
      </c>
    </row>
    <row r="102" s="13" customFormat="true" ht="15" hidden="false" customHeight="false" outlineLevel="0" collapsed="false">
      <c r="L102" s="110"/>
      <c r="O102" s="34"/>
    </row>
    <row r="103" customFormat="false" ht="15" hidden="false" customHeight="false" outlineLevel="0" collapsed="false">
      <c r="A103" s="107" t="s">
        <v>331</v>
      </c>
    </row>
    <row r="105" customFormat="false" ht="15" hidden="false" customHeight="false" outlineLevel="0" collapsed="false">
      <c r="A105" s="0" t="s">
        <v>332</v>
      </c>
      <c r="B105" s="0" t="s">
        <v>333</v>
      </c>
      <c r="C105" s="0" t="s">
        <v>340</v>
      </c>
    </row>
    <row r="106" customFormat="false" ht="15" hidden="false" customHeight="false" outlineLevel="0" collapsed="false">
      <c r="A106" s="0" t="s">
        <v>334</v>
      </c>
      <c r="B106" s="0" t="n">
        <v>4</v>
      </c>
      <c r="C106" s="116" t="n">
        <f aca="false">B106/100*($B$65+$B$91+$B$97)</f>
        <v>5692777.24316515</v>
      </c>
    </row>
    <row r="107" customFormat="false" ht="15" hidden="false" customHeight="false" outlineLevel="0" collapsed="false">
      <c r="A107" s="0" t="s">
        <v>335</v>
      </c>
      <c r="B107" s="0" t="n">
        <v>9</v>
      </c>
      <c r="C107" s="116" t="n">
        <f aca="false">B107/100*($B$65+$B$91+$B$97)</f>
        <v>12808748.7971216</v>
      </c>
    </row>
    <row r="108" customFormat="false" ht="15" hidden="false" customHeight="false" outlineLevel="0" collapsed="false">
      <c r="A108" s="0" t="s">
        <v>336</v>
      </c>
      <c r="B108" s="0" t="n">
        <v>4.5</v>
      </c>
      <c r="C108" s="116" t="n">
        <f aca="false">B108/100*($B$65+$B$91+$B$97)</f>
        <v>6404374.39856079</v>
      </c>
    </row>
    <row r="110" customFormat="false" ht="15" hidden="false" customHeight="false" outlineLevel="0" collapsed="false">
      <c r="A110" s="73" t="s">
        <v>337</v>
      </c>
      <c r="C110" s="115" t="n">
        <f aca="false">B50+B65+B91+B97+C106+C107+C108</f>
        <v>208311304.890671</v>
      </c>
    </row>
    <row r="112" customFormat="false" ht="15" hidden="false" customHeight="false" outlineLevel="0" collapsed="false">
      <c r="A112" s="0" t="s">
        <v>338</v>
      </c>
      <c r="B112" s="0" t="s">
        <v>339</v>
      </c>
      <c r="C112" s="0" t="s">
        <v>340</v>
      </c>
    </row>
    <row r="113" customFormat="false" ht="15" hidden="false" customHeight="false" outlineLevel="0" collapsed="false">
      <c r="A113" s="0" t="s">
        <v>341</v>
      </c>
      <c r="B113" s="0" t="n">
        <v>10</v>
      </c>
      <c r="C113" s="116" t="n">
        <f aca="false">B113/100*$C$110</f>
        <v>20831130.4890671</v>
      </c>
    </row>
    <row r="114" customFormat="false" ht="15" hidden="false" customHeight="false" outlineLevel="0" collapsed="false">
      <c r="A114" s="0" t="s">
        <v>342</v>
      </c>
      <c r="B114" s="0" t="n">
        <v>10</v>
      </c>
      <c r="C114" s="116" t="n">
        <f aca="false">B114/100*$C$110</f>
        <v>20831130.4890671</v>
      </c>
    </row>
    <row r="115" customFormat="false" ht="15" hidden="false" customHeight="false" outlineLevel="0" collapsed="false">
      <c r="A115" s="0" t="s">
        <v>343</v>
      </c>
      <c r="B115" s="0" t="n">
        <v>20</v>
      </c>
      <c r="C115" s="116" t="n">
        <f aca="false">B115/100*$C$110</f>
        <v>41662260.9781343</v>
      </c>
    </row>
    <row r="116" customFormat="false" ht="15" hidden="false" customHeight="false" outlineLevel="0" collapsed="false">
      <c r="A116" s="0" t="s">
        <v>344</v>
      </c>
      <c r="B116" s="0" t="n">
        <v>10</v>
      </c>
      <c r="C116" s="116" t="n">
        <f aca="false">B116/100*$C$110</f>
        <v>20831130.4890671</v>
      </c>
    </row>
    <row r="117" customFormat="false" ht="15" hidden="false" customHeight="false" outlineLevel="0" collapsed="false">
      <c r="A117" s="0" t="s">
        <v>345</v>
      </c>
      <c r="B117" s="0" t="n">
        <v>10</v>
      </c>
      <c r="C117" s="116" t="n">
        <f aca="false">B117/100*$C$110</f>
        <v>20831130.4890671</v>
      </c>
    </row>
    <row r="118" customFormat="false" ht="15" hidden="false" customHeight="false" outlineLevel="0" collapsed="false">
      <c r="U118" s="116"/>
    </row>
    <row r="119" customFormat="false" ht="15" hidden="false" customHeight="false" outlineLevel="0" collapsed="false">
      <c r="A119" s="73" t="s">
        <v>346</v>
      </c>
      <c r="C119" s="115" t="n">
        <f aca="false">SUM(C113:C117)</f>
        <v>124986782.934403</v>
      </c>
    </row>
    <row r="120" customFormat="false" ht="15" hidden="false" customHeight="false" outlineLevel="0" collapsed="false">
      <c r="A120" s="73" t="s">
        <v>347</v>
      </c>
      <c r="C120" s="115" t="n">
        <f aca="false">C110+C119</f>
        <v>333298087.825074</v>
      </c>
    </row>
    <row r="121" customFormat="false" ht="15" hidden="false" customHeight="false" outlineLevel="0" collapsed="false">
      <c r="A121" s="0" t="s">
        <v>12</v>
      </c>
      <c r="C121" s="115" t="n">
        <v>1800000</v>
      </c>
      <c r="D121" s="0" t="s">
        <v>471</v>
      </c>
    </row>
    <row r="122" customFormat="false" ht="15" hidden="false" customHeight="false" outlineLevel="0" collapsed="false">
      <c r="A122" s="0" t="s">
        <v>349</v>
      </c>
      <c r="C122" s="115" t="n">
        <f aca="false">D122/100*C120</f>
        <v>16664904.3912537</v>
      </c>
      <c r="D122" s="0" t="n">
        <v>5</v>
      </c>
      <c r="E122" s="0" t="s">
        <v>350</v>
      </c>
    </row>
    <row r="123" customFormat="false" ht="15" hidden="false" customHeight="false" outlineLevel="0" collapsed="false">
      <c r="C123" s="116"/>
    </row>
    <row r="124" customFormat="false" ht="15" hidden="false" customHeight="false" outlineLevel="0" collapsed="false">
      <c r="A124" s="107" t="s">
        <v>351</v>
      </c>
      <c r="C124" s="115" t="n">
        <f aca="false">C120+C121+C122</f>
        <v>351762992.216328</v>
      </c>
      <c r="D124" s="148" t="s">
        <v>352</v>
      </c>
    </row>
    <row r="125" customFormat="false" ht="15" hidden="false" customHeight="false" outlineLevel="0" collapsed="false">
      <c r="A125" s="107" t="s">
        <v>353</v>
      </c>
      <c r="C125" s="115" t="n">
        <f aca="false">(B51+B66+B92+Q8)*10^6</f>
        <v>22622125.8227199</v>
      </c>
      <c r="D125" s="148" t="s">
        <v>354</v>
      </c>
      <c r="E125" s="0" t="s">
        <v>355</v>
      </c>
    </row>
    <row r="126" s="1" customFormat="true" ht="15" hidden="false" customHeight="false" outlineLevel="0" collapsed="false">
      <c r="A126" s="107" t="s">
        <v>356</v>
      </c>
      <c r="C126" s="117" t="n">
        <f aca="false">B52+B67</f>
        <v>2075217.99756692</v>
      </c>
      <c r="D126" s="148" t="s">
        <v>326</v>
      </c>
      <c r="G126" s="73"/>
    </row>
    <row r="127" customFormat="false" ht="15" hidden="false" customHeight="false" outlineLevel="0" collapsed="false">
      <c r="A127" s="107" t="s">
        <v>357</v>
      </c>
      <c r="C127" s="117" t="n">
        <f aca="false">B68</f>
        <v>50492.2386528763</v>
      </c>
      <c r="D127" s="148" t="s">
        <v>326</v>
      </c>
    </row>
    <row r="128" customFormat="false" ht="15" hidden="false" customHeight="false" outlineLevel="0" collapsed="false">
      <c r="H128" s="116"/>
    </row>
    <row r="129" s="13" customFormat="true" ht="15" hidden="false" customHeight="false" outlineLevel="0" collapsed="false"/>
    <row r="130" customFormat="false" ht="15" hidden="false" customHeight="false" outlineLevel="0" collapsed="false">
      <c r="A130" s="107" t="s">
        <v>358</v>
      </c>
    </row>
    <row r="131" customFormat="false" ht="15" hidden="false" customHeight="false" outlineLevel="0" collapsed="false">
      <c r="A131" s="14" t="s">
        <v>359</v>
      </c>
      <c r="B131" s="16"/>
      <c r="C131" s="16"/>
      <c r="D131" s="16"/>
      <c r="E131" s="16"/>
      <c r="F131" s="16"/>
      <c r="G131" s="16"/>
      <c r="H131" s="16"/>
      <c r="I131" s="16"/>
      <c r="J131" s="16"/>
    </row>
    <row r="132" customFormat="false" ht="15" hidden="false" customHeight="false" outlineLevel="0" collapsed="false">
      <c r="A132" s="0" t="s">
        <v>360</v>
      </c>
      <c r="B132" s="0" t="s">
        <v>361</v>
      </c>
      <c r="C132" s="0" t="s">
        <v>472</v>
      </c>
      <c r="D132" s="0" t="s">
        <v>473</v>
      </c>
      <c r="E132" s="0" t="s">
        <v>474</v>
      </c>
      <c r="F132" s="0" t="s">
        <v>363</v>
      </c>
      <c r="G132" s="0" t="s">
        <v>19</v>
      </c>
    </row>
    <row r="133" customFormat="false" ht="15" hidden="false" customHeight="false" outlineLevel="0" collapsed="false">
      <c r="A133" s="0" t="s">
        <v>475</v>
      </c>
      <c r="B133" s="115" t="n">
        <v>155400</v>
      </c>
      <c r="C133" s="0" t="n">
        <v>1</v>
      </c>
      <c r="D133" s="0" t="n">
        <v>1</v>
      </c>
      <c r="E133" s="0" t="n">
        <f aca="false">C133*D133</f>
        <v>1</v>
      </c>
      <c r="F133" s="115" t="n">
        <f aca="false">E133*B133</f>
        <v>155400</v>
      </c>
    </row>
    <row r="134" customFormat="false" ht="15" hidden="false" customHeight="false" outlineLevel="0" collapsed="false">
      <c r="A134" s="0" t="s">
        <v>476</v>
      </c>
      <c r="B134" s="115" t="n">
        <v>74000</v>
      </c>
      <c r="C134" s="0" t="n">
        <v>2</v>
      </c>
      <c r="D134" s="0" t="n">
        <v>0.5</v>
      </c>
      <c r="E134" s="0" t="n">
        <f aca="false">C134*D134</f>
        <v>1</v>
      </c>
      <c r="F134" s="115" t="n">
        <f aca="false">E134*B134</f>
        <v>74000</v>
      </c>
    </row>
    <row r="135" customFormat="false" ht="15" hidden="false" customHeight="false" outlineLevel="0" collapsed="false">
      <c r="A135" s="0" t="s">
        <v>477</v>
      </c>
      <c r="B135" s="115" t="n">
        <v>60257</v>
      </c>
      <c r="C135" s="0" t="n">
        <v>1</v>
      </c>
      <c r="D135" s="0" t="n">
        <v>1</v>
      </c>
      <c r="E135" s="0" t="n">
        <f aca="false">C135*D135</f>
        <v>1</v>
      </c>
      <c r="F135" s="115" t="n">
        <f aca="false">E135*B135</f>
        <v>60257</v>
      </c>
    </row>
    <row r="136" customFormat="false" ht="15" hidden="false" customHeight="false" outlineLevel="0" collapsed="false">
      <c r="A136" s="0" t="s">
        <v>478</v>
      </c>
      <c r="B136" s="115" t="n">
        <v>42286</v>
      </c>
      <c r="C136" s="0" t="n">
        <v>12</v>
      </c>
      <c r="D136" s="94" t="n">
        <v>0.333333333</v>
      </c>
      <c r="E136" s="94" t="n">
        <f aca="false">C136*D136</f>
        <v>3.999999996</v>
      </c>
      <c r="F136" s="115" t="n">
        <f aca="false">E136*B136</f>
        <v>169143.999830856</v>
      </c>
      <c r="G136" s="0" t="s">
        <v>479</v>
      </c>
    </row>
    <row r="137" customFormat="false" ht="15" hidden="false" customHeight="false" outlineLevel="0" collapsed="false">
      <c r="A137" s="0" t="s">
        <v>480</v>
      </c>
      <c r="B137" s="115" t="n">
        <v>59200</v>
      </c>
      <c r="C137" s="0" t="n">
        <v>1</v>
      </c>
      <c r="D137" s="0" t="n">
        <v>1</v>
      </c>
      <c r="E137" s="0" t="n">
        <f aca="false">C137*D137</f>
        <v>1</v>
      </c>
      <c r="F137" s="115" t="n">
        <f aca="false">E137*B137</f>
        <v>59200</v>
      </c>
      <c r="M137" s="1"/>
      <c r="R137" s="1"/>
    </row>
    <row r="138" customFormat="false" ht="15" hidden="false" customHeight="false" outlineLevel="0" collapsed="false">
      <c r="A138" s="0" t="s">
        <v>481</v>
      </c>
      <c r="B138" s="115" t="n">
        <v>42286</v>
      </c>
      <c r="C138" s="0" t="n">
        <v>4</v>
      </c>
      <c r="D138" s="0" t="n">
        <v>0.5</v>
      </c>
      <c r="E138" s="0" t="n">
        <f aca="false">C138*D138</f>
        <v>2</v>
      </c>
      <c r="F138" s="115" t="n">
        <f aca="false">E138*B138</f>
        <v>84572</v>
      </c>
      <c r="G138" s="0" t="s">
        <v>482</v>
      </c>
    </row>
    <row r="139" customFormat="false" ht="15" hidden="false" customHeight="false" outlineLevel="0" collapsed="false">
      <c r="A139" s="0" t="s">
        <v>364</v>
      </c>
      <c r="B139" s="115" t="n">
        <v>50743</v>
      </c>
      <c r="C139" s="0" t="n">
        <v>4</v>
      </c>
      <c r="D139" s="0" t="n">
        <v>0.5</v>
      </c>
      <c r="E139" s="0" t="n">
        <f aca="false">C139*D139</f>
        <v>2</v>
      </c>
      <c r="F139" s="115" t="n">
        <f aca="false">E139*B139</f>
        <v>101486</v>
      </c>
    </row>
    <row r="140" customFormat="false" ht="15" hidden="false" customHeight="false" outlineLevel="0" collapsed="false">
      <c r="A140" s="0" t="s">
        <v>366</v>
      </c>
      <c r="B140" s="115" t="n">
        <v>42286</v>
      </c>
      <c r="C140" s="0" t="n">
        <v>20</v>
      </c>
      <c r="D140" s="0" t="n">
        <v>0.4</v>
      </c>
      <c r="E140" s="0" t="n">
        <f aca="false">C140*D140</f>
        <v>8</v>
      </c>
      <c r="F140" s="115" t="n">
        <f aca="false">E140*B140</f>
        <v>338288</v>
      </c>
      <c r="G140" s="0" t="s">
        <v>483</v>
      </c>
    </row>
    <row r="141" customFormat="false" ht="15" hidden="false" customHeight="false" outlineLevel="0" collapsed="false">
      <c r="A141" s="0" t="s">
        <v>484</v>
      </c>
      <c r="B141" s="115" t="n">
        <v>29600</v>
      </c>
      <c r="C141" s="0" t="n">
        <v>4</v>
      </c>
      <c r="D141" s="0" t="n">
        <v>0.5</v>
      </c>
      <c r="E141" s="0" t="n">
        <f aca="false">C141*D141</f>
        <v>2</v>
      </c>
      <c r="F141" s="115" t="n">
        <f aca="false">E141*B141</f>
        <v>59200</v>
      </c>
    </row>
    <row r="142" customFormat="false" ht="15" hidden="false" customHeight="false" outlineLevel="0" collapsed="false">
      <c r="A142" s="61" t="s">
        <v>485</v>
      </c>
      <c r="B142" s="66" t="n">
        <v>38057</v>
      </c>
      <c r="C142" s="61" t="n">
        <v>3</v>
      </c>
      <c r="D142" s="149" t="n">
        <v>0.666666667</v>
      </c>
      <c r="E142" s="149" t="n">
        <f aca="false">C142*D142</f>
        <v>2.000000001</v>
      </c>
      <c r="F142" s="66" t="n">
        <f aca="false">E142*B142</f>
        <v>76114.000038057</v>
      </c>
    </row>
    <row r="143" customFormat="false" ht="15" hidden="false" customHeight="false" outlineLevel="0" collapsed="false">
      <c r="A143" s="0" t="s">
        <v>367</v>
      </c>
      <c r="F143" s="115" t="n">
        <f aca="false">SUM(F133:F142)</f>
        <v>1177660.99986891</v>
      </c>
    </row>
    <row r="144" customFormat="false" ht="15" hidden="false" customHeight="false" outlineLevel="0" collapsed="false">
      <c r="A144" s="119" t="s">
        <v>368</v>
      </c>
      <c r="B144" s="119"/>
      <c r="C144" s="119"/>
      <c r="D144" s="119"/>
      <c r="E144" s="119"/>
      <c r="F144" s="150" t="n">
        <f aca="false">0.9*F143</f>
        <v>1059894.89988202</v>
      </c>
      <c r="G144" s="119"/>
      <c r="H144" s="119"/>
      <c r="I144" s="119"/>
      <c r="J144" s="119"/>
    </row>
    <row r="146" customFormat="false" ht="15" hidden="false" customHeight="false" outlineLevel="0" collapsed="false">
      <c r="A146" s="14" t="s">
        <v>486</v>
      </c>
      <c r="B146" s="151"/>
      <c r="C146" s="16"/>
      <c r="D146" s="16"/>
      <c r="E146" s="16"/>
      <c r="F146" s="16"/>
      <c r="G146" s="16"/>
      <c r="H146" s="16"/>
      <c r="I146" s="16"/>
      <c r="J146" s="16"/>
    </row>
    <row r="147" customFormat="false" ht="15" hidden="false" customHeight="false" outlineLevel="0" collapsed="false">
      <c r="A147" s="0" t="s">
        <v>369</v>
      </c>
      <c r="B147" s="152" t="n">
        <f aca="false">D147/100*(B65+B91+B97)</f>
        <v>4269582.93237386</v>
      </c>
      <c r="C147" s="73" t="s">
        <v>354</v>
      </c>
      <c r="D147" s="0" t="n">
        <v>3</v>
      </c>
      <c r="E147" s="0" t="s">
        <v>370</v>
      </c>
    </row>
    <row r="148" customFormat="false" ht="15" hidden="false" customHeight="false" outlineLevel="0" collapsed="false">
      <c r="A148" s="0" t="s">
        <v>371</v>
      </c>
      <c r="B148" s="115" t="n">
        <f aca="false">D148/100*C120</f>
        <v>2333086.61477552</v>
      </c>
      <c r="C148" s="73" t="s">
        <v>354</v>
      </c>
      <c r="D148" s="0" t="n">
        <v>0.7</v>
      </c>
      <c r="E148" s="0" t="s">
        <v>350</v>
      </c>
    </row>
    <row r="149" customFormat="false" ht="15" hidden="false" customHeight="false" outlineLevel="0" collapsed="false">
      <c r="A149" s="1"/>
    </row>
    <row r="150" customFormat="false" ht="15" hidden="false" customHeight="false" outlineLevel="0" collapsed="false">
      <c r="A150" s="107" t="s">
        <v>372</v>
      </c>
      <c r="B150" s="115" t="n">
        <f aca="false">SUM(B147:B148)+SUM(F143:F144)</f>
        <v>8840225.44690031</v>
      </c>
      <c r="C150" s="148" t="s">
        <v>354</v>
      </c>
    </row>
    <row r="152" s="13" customFormat="true" ht="15" hidden="false" customHeight="false" outlineLevel="0" collapsed="false"/>
    <row r="153" s="112" customFormat="true" ht="15" hidden="false" customHeight="false" outlineLevel="0" collapsed="false">
      <c r="A153" s="107" t="s">
        <v>373</v>
      </c>
    </row>
    <row r="155" customFormat="false" ht="15" hidden="false" customHeight="false" outlineLevel="0" collapsed="false">
      <c r="A155" s="14" t="s">
        <v>374</v>
      </c>
      <c r="B155" s="16"/>
      <c r="C155" s="16"/>
      <c r="D155" s="16"/>
      <c r="E155" s="16"/>
      <c r="F155" s="16"/>
      <c r="G155" s="16"/>
      <c r="H155" s="16"/>
      <c r="I155" s="16"/>
      <c r="J155" s="16"/>
    </row>
    <row r="156" customFormat="false" ht="15" hidden="false" customHeight="false" outlineLevel="0" collapsed="false">
      <c r="A156" s="0" t="s">
        <v>351</v>
      </c>
      <c r="B156" s="115" t="n">
        <v>459800000</v>
      </c>
      <c r="C156" s="148" t="s">
        <v>352</v>
      </c>
    </row>
    <row r="157" customFormat="false" ht="15" hidden="false" customHeight="false" outlineLevel="0" collapsed="false">
      <c r="A157" s="0" t="s">
        <v>375</v>
      </c>
      <c r="B157" s="115" t="n">
        <v>14500000</v>
      </c>
      <c r="C157" s="73" t="s">
        <v>354</v>
      </c>
    </row>
    <row r="158" customFormat="false" ht="15" hidden="false" customHeight="false" outlineLevel="0" collapsed="false">
      <c r="A158" s="0" t="s">
        <v>376</v>
      </c>
      <c r="B158" s="115" t="n">
        <v>8300000</v>
      </c>
      <c r="C158" s="73" t="s">
        <v>354</v>
      </c>
    </row>
    <row r="159" customFormat="false" ht="15" hidden="false" customHeight="false" outlineLevel="0" collapsed="false">
      <c r="A159" s="0" t="s">
        <v>377</v>
      </c>
      <c r="B159" s="115" t="n">
        <v>39300000</v>
      </c>
      <c r="C159" s="73" t="s">
        <v>354</v>
      </c>
    </row>
    <row r="160" customFormat="false" ht="15" hidden="false" customHeight="false" outlineLevel="0" collapsed="false">
      <c r="A160" s="1" t="s">
        <v>208</v>
      </c>
      <c r="B160" s="153" t="n">
        <f aca="false">(B157+B158+B159)/B156</f>
        <v>0.135058721183123</v>
      </c>
    </row>
    <row r="162" customFormat="false" ht="15" hidden="false" customHeight="false" outlineLevel="0" collapsed="false">
      <c r="A162" s="14" t="s">
        <v>379</v>
      </c>
      <c r="B162" s="123"/>
      <c r="C162" s="123"/>
      <c r="D162" s="123"/>
      <c r="E162" s="123"/>
      <c r="F162" s="123"/>
      <c r="G162" s="123"/>
      <c r="H162" s="123"/>
      <c r="I162" s="123"/>
      <c r="J162" s="123"/>
    </row>
    <row r="163" customFormat="false" ht="15" hidden="false" customHeight="false" outlineLevel="0" collapsed="false">
      <c r="A163" s="0" t="s">
        <v>351</v>
      </c>
      <c r="B163" s="115" t="n">
        <f aca="false">C124</f>
        <v>351762992.216328</v>
      </c>
      <c r="C163" s="148" t="s">
        <v>352</v>
      </c>
    </row>
    <row r="164" customFormat="false" ht="15" hidden="false" customHeight="false" outlineLevel="0" collapsed="false">
      <c r="A164" s="0" t="s">
        <v>375</v>
      </c>
      <c r="B164" s="115" t="n">
        <f aca="false">ROUND(C120/30,-5)</f>
        <v>11100000</v>
      </c>
      <c r="C164" s="73" t="s">
        <v>354</v>
      </c>
    </row>
    <row r="165" customFormat="false" ht="15" hidden="false" customHeight="false" outlineLevel="0" collapsed="false">
      <c r="A165" s="0" t="s">
        <v>380</v>
      </c>
      <c r="B165" s="115" t="n">
        <f aca="false">B160*B163-B164</f>
        <v>36408659.8882861</v>
      </c>
      <c r="C165" s="73" t="s">
        <v>354</v>
      </c>
    </row>
  </sheetData>
  <hyperlinks>
    <hyperlink ref="A2" r:id="rId1" display="http://www.nrel.gov/docs/fy14osti/62368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227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70" zoomScaleNormal="70" zoomScalePageLayoutView="100" workbookViewId="0">
      <pane xSplit="0" ySplit="5" topLeftCell="A39" activePane="bottomLeft" state="frozen"/>
      <selection pane="topLeft" activeCell="F1" activeCellId="0" sqref="F1"/>
      <selection pane="bottomLeft" activeCell="M57" activeCellId="0" sqref="M57:AC68"/>
    </sheetView>
  </sheetViews>
  <sheetFormatPr defaultRowHeight="15"/>
  <cols>
    <col collapsed="false" hidden="false" max="1" min="1" style="18" width="28.484693877551"/>
    <col collapsed="false" hidden="false" max="2" min="2" style="18" width="14.7142857142857"/>
    <col collapsed="false" hidden="false" max="3" min="3" style="18" width="8.63775510204082"/>
    <col collapsed="false" hidden="false" max="4" min="4" style="18" width="23.219387755102"/>
    <col collapsed="false" hidden="false" max="7" min="5" style="18" width="8.63775510204082"/>
    <col collapsed="false" hidden="false" max="8" min="8" style="211" width="8.63775510204082"/>
    <col collapsed="false" hidden="false" max="29" min="9" style="18" width="8.63775510204082"/>
    <col collapsed="false" hidden="false" max="30" min="30" style="211" width="8.63775510204082"/>
    <col collapsed="false" hidden="false" max="51" min="31" style="18" width="8.63775510204082"/>
    <col collapsed="false" hidden="false" max="52" min="52" style="211" width="8.63775510204082"/>
    <col collapsed="false" hidden="false" max="1025" min="53" style="18" width="8.6377551020408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44" t="n">
        <f aca="false">40*365/1000</f>
        <v>14.6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44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44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</row>
    <row r="2" customFormat="false" ht="15" hidden="false" customHeight="false" outlineLevel="0" collapsed="false">
      <c r="A2" s="1" t="s">
        <v>667</v>
      </c>
      <c r="B2" s="197" t="n">
        <v>10</v>
      </c>
      <c r="C2" s="212" t="s">
        <v>169</v>
      </c>
      <c r="D2" s="0"/>
      <c r="E2" s="0"/>
      <c r="F2" s="0"/>
      <c r="G2" s="18" t="s">
        <v>668</v>
      </c>
      <c r="H2" s="44"/>
      <c r="I2" s="0"/>
      <c r="J2" s="0"/>
      <c r="K2" s="0"/>
      <c r="L2" s="0"/>
      <c r="M2" s="189" t="n">
        <v>2020</v>
      </c>
      <c r="N2" s="189" t="n">
        <v>2025</v>
      </c>
      <c r="O2" s="189" t="n">
        <v>2030</v>
      </c>
      <c r="P2" s="189" t="n">
        <v>2035</v>
      </c>
      <c r="Q2" s="189" t="n">
        <v>2040</v>
      </c>
      <c r="R2" s="189" t="n">
        <v>2045</v>
      </c>
      <c r="S2" s="189" t="n">
        <v>2050</v>
      </c>
      <c r="T2" s="189" t="n">
        <v>2055</v>
      </c>
      <c r="U2" s="189" t="n">
        <v>2060</v>
      </c>
      <c r="V2" s="189" t="n">
        <v>2065</v>
      </c>
      <c r="W2" s="189" t="n">
        <v>2070</v>
      </c>
      <c r="X2" s="189" t="n">
        <v>2075</v>
      </c>
      <c r="Y2" s="189" t="n">
        <v>2080</v>
      </c>
      <c r="Z2" s="189" t="n">
        <v>2085</v>
      </c>
      <c r="AA2" s="189" t="n">
        <v>2090</v>
      </c>
      <c r="AB2" s="189" t="n">
        <v>2095</v>
      </c>
      <c r="AC2" s="189" t="n">
        <v>2100</v>
      </c>
      <c r="AD2" s="44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44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</row>
    <row r="3" customFormat="false" ht="15" hidden="false" customHeight="false" outlineLevel="0" collapsed="false">
      <c r="A3" s="213" t="s">
        <v>669</v>
      </c>
      <c r="B3" s="214" t="n">
        <f aca="false">Control!G14</f>
        <v>0</v>
      </c>
      <c r="C3" s="0" t="s">
        <v>670</v>
      </c>
      <c r="D3" s="0"/>
      <c r="E3" s="0"/>
      <c r="F3" s="18" t="n">
        <v>24.5</v>
      </c>
      <c r="G3" s="18" t="n">
        <v>0.5</v>
      </c>
      <c r="H3" s="44"/>
      <c r="I3" s="0"/>
      <c r="J3" s="0"/>
      <c r="K3" s="0"/>
      <c r="L3" s="0" t="s">
        <v>671</v>
      </c>
      <c r="M3" s="0" t="n">
        <f aca="false">1+1/(1+EXP(-$B$4*(M$5-$S$5)))</f>
        <v>1.04742587317757</v>
      </c>
      <c r="N3" s="0" t="n">
        <f aca="false">1+1/(1+EXP(-$B$4*(N$5-$S$5)))</f>
        <v>1.07585818002124</v>
      </c>
      <c r="O3" s="0" t="n">
        <f aca="false">1+1/(1+EXP(-$B$4*(O$5-$S$5)))</f>
        <v>1.11920292202212</v>
      </c>
      <c r="P3" s="0" t="n">
        <f aca="false">1+1/(1+EXP(-$B$4*(P$5-$S$5)))</f>
        <v>1.18242552380636</v>
      </c>
      <c r="Q3" s="0" t="n">
        <f aca="false">1+1/(1+EXP(-$B$4*(Q$5-$S$5)))</f>
        <v>1.26894142137</v>
      </c>
      <c r="R3" s="0" t="n">
        <f aca="false">1+1/(1+EXP(-$B$4*(R$5-$S$5)))</f>
        <v>1.37754066879815</v>
      </c>
      <c r="S3" s="0" t="n">
        <f aca="false">1+1/(1+EXP(-$B$4*(S$5-$S$5)))</f>
        <v>1.5</v>
      </c>
      <c r="T3" s="0" t="n">
        <f aca="false">1+1/(1+EXP(-$B$4*(T$5-$S$5)))</f>
        <v>1.62245933120185</v>
      </c>
      <c r="U3" s="0" t="n">
        <f aca="false">1+1/(1+EXP(-$B$4*(U$5-$S$5)))</f>
        <v>1.73105857863</v>
      </c>
      <c r="V3" s="0" t="n">
        <f aca="false">1+1/(1+EXP(-$B$4*(V$5-$S$5)))</f>
        <v>1.81757447619364</v>
      </c>
      <c r="W3" s="0" t="n">
        <f aca="false">1+1/(1+EXP(-$B$4*(W$5-$S$5)))</f>
        <v>1.88079707797788</v>
      </c>
      <c r="X3" s="0" t="n">
        <f aca="false">1+1/(1+EXP(-$B$4*(X$5-$S$5)))</f>
        <v>1.92414181997876</v>
      </c>
      <c r="Y3" s="0" t="n">
        <f aca="false">1+1/(1+EXP(-$B$4*(Y$5-$S$5)))</f>
        <v>1.95257412682243</v>
      </c>
      <c r="Z3" s="0" t="n">
        <f aca="false">1+1/(1+EXP(-$B$4*(Z$5-$S$5)))</f>
        <v>1.97068776924864</v>
      </c>
      <c r="AA3" s="0" t="n">
        <f aca="false">1+1/(1+EXP(-$B$4*(AA$5-$S$5)))</f>
        <v>1.98201379003791</v>
      </c>
      <c r="AB3" s="0" t="n">
        <f aca="false">1+1/(1+EXP(-$B$4*(AB$5-$S$5)))</f>
        <v>1.98901305736941</v>
      </c>
      <c r="AC3" s="0" t="n">
        <f aca="false">1+1/(1+EXP(-$B$4*(AC$5-$S$5)))</f>
        <v>1.99330714907572</v>
      </c>
      <c r="AD3" s="44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44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</row>
    <row r="4" customFormat="false" ht="13.8" hidden="false" customHeight="false" outlineLevel="0" collapsed="false">
      <c r="A4" s="0" t="s">
        <v>672</v>
      </c>
      <c r="B4" s="0" t="n">
        <v>0.1</v>
      </c>
      <c r="C4" s="0"/>
      <c r="D4" s="0"/>
      <c r="E4" s="212" t="s">
        <v>169</v>
      </c>
      <c r="F4" s="0"/>
      <c r="G4" s="0"/>
      <c r="H4" s="215" t="s">
        <v>673</v>
      </c>
      <c r="I4" s="201"/>
      <c r="J4" s="201"/>
      <c r="K4" s="201"/>
      <c r="L4" s="201"/>
      <c r="M4" s="201"/>
      <c r="N4" s="0"/>
      <c r="O4" s="0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16" t="s">
        <v>674</v>
      </c>
      <c r="AE4" s="201"/>
      <c r="AF4" s="201"/>
      <c r="AG4" s="201"/>
      <c r="AH4" s="201"/>
      <c r="AI4" s="201"/>
      <c r="AJ4" s="0"/>
      <c r="AK4" s="201"/>
      <c r="AL4" s="201"/>
      <c r="AM4" s="201"/>
      <c r="AN4" s="201"/>
      <c r="AO4" s="201"/>
      <c r="AP4" s="201"/>
      <c r="AQ4" s="201"/>
      <c r="AR4" s="201"/>
      <c r="AS4" s="201"/>
      <c r="AT4" s="201"/>
      <c r="AU4" s="201"/>
      <c r="AV4" s="201"/>
      <c r="AW4" s="201"/>
      <c r="AX4" s="201"/>
      <c r="AY4" s="201"/>
      <c r="AZ4" s="215" t="s">
        <v>675</v>
      </c>
      <c r="BA4" s="201"/>
      <c r="BB4" s="201"/>
      <c r="BC4" s="201"/>
      <c r="BD4" s="201"/>
      <c r="BE4" s="201"/>
      <c r="BF4" s="0"/>
      <c r="BG4" s="201"/>
      <c r="BH4" s="201"/>
      <c r="BI4" s="201"/>
      <c r="BJ4" s="201"/>
      <c r="BK4" s="201"/>
      <c r="BL4" s="201"/>
      <c r="BM4" s="201"/>
      <c r="BN4" s="201"/>
      <c r="BO4" s="201"/>
      <c r="BP4" s="201"/>
      <c r="BQ4" s="201"/>
      <c r="BR4" s="201"/>
      <c r="BS4" s="201"/>
      <c r="BT4" s="201"/>
      <c r="BU4" s="201"/>
    </row>
    <row r="5" customFormat="false" ht="15" hidden="false" customHeight="false" outlineLevel="0" collapsed="false">
      <c r="A5" s="189" t="s">
        <v>676</v>
      </c>
      <c r="B5" s="189" t="s">
        <v>677</v>
      </c>
      <c r="C5" s="189" t="s">
        <v>678</v>
      </c>
      <c r="D5" s="189" t="s">
        <v>679</v>
      </c>
      <c r="E5" s="189" t="s">
        <v>673</v>
      </c>
      <c r="F5" s="16" t="s">
        <v>680</v>
      </c>
      <c r="G5" s="16" t="s">
        <v>681</v>
      </c>
      <c r="H5" s="217" t="n">
        <v>1975</v>
      </c>
      <c r="I5" s="189" t="n">
        <v>1990</v>
      </c>
      <c r="J5" s="189" t="n">
        <v>2005</v>
      </c>
      <c r="K5" s="189" t="n">
        <v>2010</v>
      </c>
      <c r="L5" s="189" t="n">
        <v>2015</v>
      </c>
      <c r="M5" s="189" t="n">
        <v>2020</v>
      </c>
      <c r="N5" s="189" t="n">
        <v>2025</v>
      </c>
      <c r="O5" s="189" t="n">
        <v>2030</v>
      </c>
      <c r="P5" s="189" t="n">
        <v>2035</v>
      </c>
      <c r="Q5" s="189" t="n">
        <v>2040</v>
      </c>
      <c r="R5" s="189" t="n">
        <v>2045</v>
      </c>
      <c r="S5" s="189" t="n">
        <v>2050</v>
      </c>
      <c r="T5" s="189" t="n">
        <v>2055</v>
      </c>
      <c r="U5" s="189" t="n">
        <v>2060</v>
      </c>
      <c r="V5" s="189" t="n">
        <v>2065</v>
      </c>
      <c r="W5" s="189" t="n">
        <v>2070</v>
      </c>
      <c r="X5" s="189" t="n">
        <v>2075</v>
      </c>
      <c r="Y5" s="189" t="n">
        <v>2080</v>
      </c>
      <c r="Z5" s="189" t="n">
        <v>2085</v>
      </c>
      <c r="AA5" s="189" t="n">
        <v>2090</v>
      </c>
      <c r="AB5" s="189" t="n">
        <v>2095</v>
      </c>
      <c r="AC5" s="189" t="n">
        <v>2100</v>
      </c>
      <c r="AD5" s="217" t="n">
        <v>1975</v>
      </c>
      <c r="AE5" s="189" t="n">
        <v>1990</v>
      </c>
      <c r="AF5" s="189" t="n">
        <v>2005</v>
      </c>
      <c r="AG5" s="189" t="n">
        <v>2010</v>
      </c>
      <c r="AH5" s="189" t="n">
        <v>2015</v>
      </c>
      <c r="AI5" s="189" t="n">
        <v>2020</v>
      </c>
      <c r="AJ5" s="189" t="n">
        <v>2025</v>
      </c>
      <c r="AK5" s="189" t="n">
        <v>2030</v>
      </c>
      <c r="AL5" s="189" t="n">
        <v>2035</v>
      </c>
      <c r="AM5" s="189" t="n">
        <v>2040</v>
      </c>
      <c r="AN5" s="189" t="n">
        <v>2045</v>
      </c>
      <c r="AO5" s="189" t="n">
        <v>2050</v>
      </c>
      <c r="AP5" s="189" t="n">
        <v>2055</v>
      </c>
      <c r="AQ5" s="189" t="n">
        <v>2060</v>
      </c>
      <c r="AR5" s="189" t="n">
        <v>2065</v>
      </c>
      <c r="AS5" s="189" t="n">
        <v>2070</v>
      </c>
      <c r="AT5" s="189" t="n">
        <v>2075</v>
      </c>
      <c r="AU5" s="189" t="n">
        <v>2080</v>
      </c>
      <c r="AV5" s="189" t="n">
        <v>2085</v>
      </c>
      <c r="AW5" s="189" t="n">
        <v>2090</v>
      </c>
      <c r="AX5" s="189" t="n">
        <v>2095</v>
      </c>
      <c r="AY5" s="189" t="n">
        <v>2100</v>
      </c>
      <c r="AZ5" s="217" t="n">
        <v>1975</v>
      </c>
      <c r="BA5" s="189" t="n">
        <v>1990</v>
      </c>
      <c r="BB5" s="189" t="n">
        <v>2005</v>
      </c>
      <c r="BC5" s="189" t="n">
        <v>2010</v>
      </c>
      <c r="BD5" s="189" t="n">
        <v>2015</v>
      </c>
      <c r="BE5" s="189" t="n">
        <v>2020</v>
      </c>
      <c r="BF5" s="189" t="n">
        <v>2025</v>
      </c>
      <c r="BG5" s="189" t="n">
        <v>2030</v>
      </c>
      <c r="BH5" s="189" t="n">
        <v>2035</v>
      </c>
      <c r="BI5" s="189" t="n">
        <v>2040</v>
      </c>
      <c r="BJ5" s="189" t="n">
        <v>2045</v>
      </c>
      <c r="BK5" s="189" t="n">
        <v>2050</v>
      </c>
      <c r="BL5" s="189" t="n">
        <v>2055</v>
      </c>
      <c r="BM5" s="189" t="n">
        <v>2060</v>
      </c>
      <c r="BN5" s="189" t="n">
        <v>2065</v>
      </c>
      <c r="BO5" s="189" t="n">
        <v>2070</v>
      </c>
      <c r="BP5" s="189" t="n">
        <v>2075</v>
      </c>
      <c r="BQ5" s="189" t="n">
        <v>2080</v>
      </c>
      <c r="BR5" s="189" t="n">
        <v>2085</v>
      </c>
      <c r="BS5" s="189" t="n">
        <v>2090</v>
      </c>
      <c r="BT5" s="189" t="n">
        <v>2095</v>
      </c>
      <c r="BU5" s="189" t="n">
        <v>2100</v>
      </c>
    </row>
    <row r="6" customFormat="false" ht="15" hidden="false" customHeight="false" outlineLevel="0" collapsed="false">
      <c r="A6" s="18" t="s">
        <v>50</v>
      </c>
      <c r="B6" s="18" t="s">
        <v>22</v>
      </c>
      <c r="C6" s="18" t="s">
        <v>682</v>
      </c>
      <c r="D6" s="18" t="s">
        <v>682</v>
      </c>
      <c r="E6" s="28" t="n">
        <v>6.794475</v>
      </c>
      <c r="F6" s="185" t="n">
        <f aca="false">E6/$B$2*$F$3/1000</f>
        <v>0.01664646375</v>
      </c>
      <c r="G6" s="18" t="n">
        <f aca="false">LOOKUP(RIGHT(D6,5),Ref!$C$4:$C$21,Ref!$E$4:$E$21)*$G$3</f>
        <v>3</v>
      </c>
      <c r="H6" s="218" t="n">
        <f aca="false">$E6</f>
        <v>6.794475</v>
      </c>
      <c r="I6" s="177" t="n">
        <f aca="false">$E6</f>
        <v>6.794475</v>
      </c>
      <c r="J6" s="177" t="n">
        <f aca="false">$E6</f>
        <v>6.794475</v>
      </c>
      <c r="K6" s="177" t="n">
        <f aca="false">$E6</f>
        <v>6.794475</v>
      </c>
      <c r="L6" s="177" t="n">
        <f aca="false">$E6</f>
        <v>6.794475</v>
      </c>
      <c r="M6" s="177" t="n">
        <f aca="false">M$3*$E6</f>
        <v>7.11670890965815</v>
      </c>
      <c r="N6" s="177" t="n">
        <f aca="false">N$3*$E6</f>
        <v>7.30989150769984</v>
      </c>
      <c r="O6" s="177" t="n">
        <f aca="false">O$3*$E6</f>
        <v>7.60439627360623</v>
      </c>
      <c r="P6" s="177" t="n">
        <f aca="false">P$3*$E6</f>
        <v>8.03396066086419</v>
      </c>
      <c r="Q6" s="177" t="n">
        <f aca="false">Q$3*$E6</f>
        <v>8.6217907639629</v>
      </c>
      <c r="R6" s="177" t="n">
        <f aca="false">R$3*$E6</f>
        <v>9.35966563563228</v>
      </c>
      <c r="S6" s="177" t="n">
        <f aca="false">S$3*$E6</f>
        <v>10.1917125</v>
      </c>
      <c r="T6" s="177" t="n">
        <f aca="false">T$3*$E6</f>
        <v>11.0237593643677</v>
      </c>
      <c r="U6" s="177" t="n">
        <f aca="false">U$3*$E6</f>
        <v>11.7616342360371</v>
      </c>
      <c r="V6" s="177" t="n">
        <f aca="false">V$3*$E6</f>
        <v>12.3494643391358</v>
      </c>
      <c r="W6" s="177" t="n">
        <f aca="false">W$3*$E6</f>
        <v>12.7790287263938</v>
      </c>
      <c r="X6" s="177" t="n">
        <f aca="false">X$3*$E6</f>
        <v>13.0735334923002</v>
      </c>
      <c r="Y6" s="177" t="n">
        <f aca="false">Y$3*$E6</f>
        <v>13.2667160903419</v>
      </c>
      <c r="Z6" s="177" t="n">
        <f aca="false">Z$3*$E6</f>
        <v>13.3897887809657</v>
      </c>
      <c r="AA6" s="177" t="n">
        <f aca="false">AA$3*$E6</f>
        <v>13.4667431460678</v>
      </c>
      <c r="AB6" s="177" t="n">
        <f aca="false">AB$3*$E6</f>
        <v>13.51429949297</v>
      </c>
      <c r="AC6" s="177" t="n">
        <f aca="false">AC$3*$E6</f>
        <v>13.5434755917162</v>
      </c>
      <c r="AD6" s="219" t="n">
        <f aca="false">Algae_electricity_factor/H6</f>
        <v>0.00202276071418752</v>
      </c>
      <c r="AE6" s="220" t="n">
        <f aca="false">Algae_electricity_factor/I6</f>
        <v>0.00202276071418752</v>
      </c>
      <c r="AF6" s="220" t="n">
        <f aca="false">Algae_electricity_factor/J6</f>
        <v>0.00202276071418752</v>
      </c>
      <c r="AG6" s="220" t="n">
        <f aca="false">Algae_electricity_factor/K6</f>
        <v>0.00202276071418752</v>
      </c>
      <c r="AH6" s="220" t="n">
        <f aca="false">Algae_electricity_factor/L6</f>
        <v>0.00202276071418752</v>
      </c>
      <c r="AI6" s="220" t="n">
        <f aca="false">Algae_electricity_factor/M6</f>
        <v>0.001931173141686</v>
      </c>
      <c r="AJ6" s="220" t="n">
        <f aca="false">Algae_electricity_factor/N6</f>
        <v>0.00188013694718349</v>
      </c>
      <c r="AK6" s="220" t="n">
        <f aca="false">Algae_electricity_factor/O6</f>
        <v>0.00180732258144296</v>
      </c>
      <c r="AL6" s="220" t="n">
        <f aca="false">Algae_electricity_factor/P6</f>
        <v>0.00171068762764528</v>
      </c>
      <c r="AM6" s="220" t="n">
        <f aca="false">Algae_electricity_factor/Q6</f>
        <v>0.00159405365773597</v>
      </c>
      <c r="AN6" s="220" t="n">
        <f aca="false">Algae_electricity_factor/R6</f>
        <v>0.00146838547855891</v>
      </c>
      <c r="AO6" s="220" t="n">
        <f aca="false">Algae_electricity_factor/S6</f>
        <v>0.00134850714279168</v>
      </c>
      <c r="AP6" s="220" t="n">
        <f aca="false">Algae_electricity_factor/T6</f>
        <v>0.00124672506440524</v>
      </c>
      <c r="AQ6" s="220" t="n">
        <f aca="false">Algae_electricity_factor/U6</f>
        <v>0.00116851084022146</v>
      </c>
      <c r="AR6" s="220" t="n">
        <f aca="false">Algae_electricity_factor/V6</f>
        <v>0.00111289014050394</v>
      </c>
      <c r="AS6" s="220" t="n">
        <f aca="false">Algae_electricity_factor/W6</f>
        <v>0.00107548057037725</v>
      </c>
      <c r="AT6" s="220" t="n">
        <f aca="false">Algae_electricity_factor/X6</f>
        <v>0.00105125344357925</v>
      </c>
      <c r="AU6" s="220" t="n">
        <f aca="false">Algae_electricity_factor/Y6</f>
        <v>0.00103594567110203</v>
      </c>
      <c r="AV6" s="220" t="n">
        <f aca="false">Algae_electricity_factor/Z6</f>
        <v>0.00102642374187908</v>
      </c>
      <c r="AW6" s="220" t="n">
        <f aca="false">Algae_electricity_factor/AA6</f>
        <v>0.00102055834543353</v>
      </c>
      <c r="AX6" s="220" t="n">
        <f aca="false">Algae_electricity_factor/AB6</f>
        <v>0.00101696703633648</v>
      </c>
      <c r="AY6" s="220" t="n">
        <f aca="false">Algae_electricity_factor/AC6</f>
        <v>0.00101477623010857</v>
      </c>
      <c r="AZ6" s="221" t="n">
        <f aca="false">Algae_yield_cost_factor/H6</f>
        <v>0.111979603911445</v>
      </c>
      <c r="BA6" s="197" t="n">
        <f aca="false">Algae_yield_cost_factor/I6</f>
        <v>0.111979603911445</v>
      </c>
      <c r="BB6" s="197" t="n">
        <f aca="false">Algae_yield_cost_factor/J6</f>
        <v>0.111979603911445</v>
      </c>
      <c r="BC6" s="197" t="n">
        <f aca="false">Algae_yield_cost_factor/K6</f>
        <v>0.111979603911445</v>
      </c>
      <c r="BD6" s="197" t="n">
        <f aca="false">Algae_yield_cost_factor/L6</f>
        <v>0.111979603911445</v>
      </c>
      <c r="BE6" s="197" t="n">
        <f aca="false">Algae_yield_cost_factor/M6</f>
        <v>0.10690933533247</v>
      </c>
      <c r="BF6" s="197" t="n">
        <f aca="false">Algae_yield_cost_factor/N6</f>
        <v>0.104083982434594</v>
      </c>
      <c r="BG6" s="197" t="n">
        <f aca="false">Algae_yield_cost_factor/O6</f>
        <v>0.100052994598269</v>
      </c>
      <c r="BH6" s="197" t="n">
        <f aca="false">Algae_yield_cost_factor/P6</f>
        <v>0.0947033040617821</v>
      </c>
      <c r="BI6" s="197" t="n">
        <f aca="false">Algae_yield_cost_factor/Q6</f>
        <v>0.0882464722371094</v>
      </c>
      <c r="BJ6" s="197" t="n">
        <f aca="false">Algae_yield_cost_factor/R6</f>
        <v>0.0812895085044157</v>
      </c>
      <c r="BK6" s="197" t="n">
        <f aca="false">Algae_yield_cost_factor/S6</f>
        <v>0.0746530692742969</v>
      </c>
      <c r="BL6" s="197" t="n">
        <f aca="false">Algae_yield_cost_factor/T6</f>
        <v>0.0690184350127872</v>
      </c>
      <c r="BM6" s="197" t="n">
        <f aca="false">Algae_yield_cost_factor/U6</f>
        <v>0.0646885121588828</v>
      </c>
      <c r="BN6" s="197" t="n">
        <f aca="false">Algae_yield_cost_factor/V6</f>
        <v>0.0616093620251273</v>
      </c>
      <c r="BO6" s="197" t="n">
        <f aca="false">Algae_yield_cost_factor/W6</f>
        <v>0.0595383761611534</v>
      </c>
      <c r="BP6" s="197" t="n">
        <f aca="false">Algae_yield_cost_factor/X6</f>
        <v>0.0581971675625665</v>
      </c>
      <c r="BQ6" s="197" t="n">
        <f aca="false">Algae_yield_cost_factor/Y6</f>
        <v>0.0573497325265074</v>
      </c>
      <c r="BR6" s="197" t="n">
        <f aca="false">Algae_yield_cost_factor/Z6</f>
        <v>0.0568226005452601</v>
      </c>
      <c r="BS6" s="197" t="n">
        <f aca="false">Algae_yield_cost_factor/AA6</f>
        <v>0.0564978934426605</v>
      </c>
      <c r="BT6" s="197" t="n">
        <f aca="false">Algae_yield_cost_factor/AB6</f>
        <v>0.0562990793331168</v>
      </c>
      <c r="BU6" s="197" t="n">
        <f aca="false">Algae_yield_cost_factor/AC6</f>
        <v>0.0561777967652249</v>
      </c>
    </row>
    <row r="7" customFormat="false" ht="15" hidden="false" customHeight="false" outlineLevel="0" collapsed="false">
      <c r="A7" s="18" t="s">
        <v>50</v>
      </c>
      <c r="B7" s="18" t="s">
        <v>22</v>
      </c>
      <c r="C7" s="18" t="s">
        <v>683</v>
      </c>
      <c r="D7" s="18" t="s">
        <v>683</v>
      </c>
      <c r="E7" s="28" t="n">
        <v>6.07068</v>
      </c>
      <c r="F7" s="185" t="n">
        <f aca="false">E7/$B$2*$F$3/1000</f>
        <v>0.014873166</v>
      </c>
      <c r="G7" s="18" t="n">
        <f aca="false">LOOKUP(RIGHT(D7,5),Ref!$C$4:$C$21,Ref!$E$4:$E$21)*$G$3</f>
        <v>3</v>
      </c>
      <c r="H7" s="218" t="n">
        <f aca="false">$E7</f>
        <v>6.07068</v>
      </c>
      <c r="I7" s="177" t="n">
        <f aca="false">$E7</f>
        <v>6.07068</v>
      </c>
      <c r="J7" s="177" t="n">
        <f aca="false">$E7</f>
        <v>6.07068</v>
      </c>
      <c r="K7" s="177" t="n">
        <f aca="false">$E7</f>
        <v>6.07068</v>
      </c>
      <c r="L7" s="177" t="n">
        <f aca="false">$E7</f>
        <v>6.07068</v>
      </c>
      <c r="M7" s="177" t="n">
        <f aca="false">M$3*$E7</f>
        <v>6.35858729978159</v>
      </c>
      <c r="N7" s="177" t="n">
        <f aca="false">N$3*$E7</f>
        <v>6.53119073629136</v>
      </c>
      <c r="O7" s="177" t="n">
        <f aca="false">O$3*$E7</f>
        <v>6.79432279466123</v>
      </c>
      <c r="P7" s="177" t="n">
        <f aca="false">P$3*$E7</f>
        <v>7.17812697886077</v>
      </c>
      <c r="Q7" s="177" t="n">
        <f aca="false">Q$3*$E7</f>
        <v>7.7033373078824</v>
      </c>
      <c r="R7" s="177" t="n">
        <f aca="false">R$3*$E7</f>
        <v>8.36260858725953</v>
      </c>
      <c r="S7" s="177" t="n">
        <f aca="false">S$3*$E7</f>
        <v>9.10602</v>
      </c>
      <c r="T7" s="177" t="n">
        <f aca="false">T$3*$E7</f>
        <v>9.84943141274047</v>
      </c>
      <c r="U7" s="177" t="n">
        <f aca="false">U$3*$E7</f>
        <v>10.5087026921176</v>
      </c>
      <c r="V7" s="177" t="n">
        <f aca="false">V$3*$E7</f>
        <v>11.0339130211392</v>
      </c>
      <c r="W7" s="177" t="n">
        <f aca="false">W$3*$E7</f>
        <v>11.4177172053388</v>
      </c>
      <c r="X7" s="177" t="n">
        <f aca="false">X$3*$E7</f>
        <v>11.6808492637086</v>
      </c>
      <c r="Y7" s="177" t="n">
        <f aca="false">Y$3*$E7</f>
        <v>11.8534527002184</v>
      </c>
      <c r="Z7" s="177" t="n">
        <f aca="false">Z$3*$E7</f>
        <v>11.9634148270224</v>
      </c>
      <c r="AA7" s="177" t="n">
        <f aca="false">AA$3*$E7</f>
        <v>12.0321714749073</v>
      </c>
      <c r="AB7" s="177" t="n">
        <f aca="false">AB$3*$E7</f>
        <v>12.0746617871113</v>
      </c>
      <c r="AC7" s="177" t="n">
        <f aca="false">AC$3*$E7</f>
        <v>12.100729843751</v>
      </c>
      <c r="AD7" s="219" t="n">
        <f aca="false">Algae_electricity_factor/H7</f>
        <v>0.00226393041694328</v>
      </c>
      <c r="AE7" s="220" t="n">
        <f aca="false">Algae_electricity_factor/I7</f>
        <v>0.00226393041694328</v>
      </c>
      <c r="AF7" s="220" t="n">
        <f aca="false">Algae_electricity_factor/J7</f>
        <v>0.00226393041694328</v>
      </c>
      <c r="AG7" s="220" t="n">
        <f aca="false">Algae_electricity_factor/K7</f>
        <v>0.00226393041694328</v>
      </c>
      <c r="AH7" s="220" t="n">
        <f aca="false">Algae_electricity_factor/L7</f>
        <v>0.00226393041694328</v>
      </c>
      <c r="AI7" s="220" t="n">
        <f aca="false">Algae_electricity_factor/M7</f>
        <v>0.00216142304187619</v>
      </c>
      <c r="AJ7" s="220" t="n">
        <f aca="false">Algae_electricity_factor/N7</f>
        <v>0.00210430190427012</v>
      </c>
      <c r="AK7" s="220" t="n">
        <f aca="false">Algae_electricity_factor/O7</f>
        <v>0.00202280602775137</v>
      </c>
      <c r="AL7" s="220" t="n">
        <f aca="false">Algae_electricity_factor/P7</f>
        <v>0.00191464948224007</v>
      </c>
      <c r="AM7" s="220" t="n">
        <f aca="false">Algae_electricity_factor/Q7</f>
        <v>0.00178410947803963</v>
      </c>
      <c r="AN7" s="220" t="n">
        <f aca="false">Algae_electricity_factor/R7</f>
        <v>0.001643458133921</v>
      </c>
      <c r="AO7" s="220" t="n">
        <f aca="false">Algae_electricity_factor/S7</f>
        <v>0.00150928694462886</v>
      </c>
      <c r="AP7" s="220" t="n">
        <f aca="false">Algae_electricity_factor/T7</f>
        <v>0.00139536959318805</v>
      </c>
      <c r="AQ7" s="220" t="n">
        <f aca="false">Algae_electricity_factor/U7</f>
        <v>0.00130783004393474</v>
      </c>
      <c r="AR7" s="220" t="n">
        <f aca="false">Algae_electricity_factor/V7</f>
        <v>0.00124557779975234</v>
      </c>
      <c r="AS7" s="220" t="n">
        <f aca="false">Algae_electricity_factor/W7</f>
        <v>0.00120370796161451</v>
      </c>
      <c r="AT7" s="220" t="n">
        <f aca="false">Algae_electricity_factor/X7</f>
        <v>0.00117659228308248</v>
      </c>
      <c r="AU7" s="220" t="n">
        <f aca="false">Algae_electricity_factor/Y7</f>
        <v>0.0011594593955967</v>
      </c>
      <c r="AV7" s="220" t="n">
        <f aca="false">Algae_electricity_factor/Z7</f>
        <v>0.00114880218585131</v>
      </c>
      <c r="AW7" s="220" t="n">
        <f aca="false">Algae_electricity_factor/AA7</f>
        <v>0.00114223746995221</v>
      </c>
      <c r="AX7" s="220" t="n">
        <f aca="false">Algae_electricity_factor/AB7</f>
        <v>0.00113821797627486</v>
      </c>
      <c r="AY7" s="220" t="n">
        <f aca="false">Algae_electricity_factor/AC7</f>
        <v>0.00113576596461466</v>
      </c>
      <c r="AZ7" s="221" t="n">
        <f aca="false">Algae_yield_cost_factor/H7</f>
        <v>0.125330707480252</v>
      </c>
      <c r="BA7" s="197" t="n">
        <f aca="false">Algae_yield_cost_factor/I7</f>
        <v>0.125330707480252</v>
      </c>
      <c r="BB7" s="197" t="n">
        <f aca="false">Algae_yield_cost_factor/J7</f>
        <v>0.125330707480252</v>
      </c>
      <c r="BC7" s="197" t="n">
        <f aca="false">Algae_yield_cost_factor/K7</f>
        <v>0.125330707480252</v>
      </c>
      <c r="BD7" s="197" t="n">
        <f aca="false">Algae_yield_cost_factor/L7</f>
        <v>0.125330707480252</v>
      </c>
      <c r="BE7" s="197" t="n">
        <f aca="false">Algae_yield_cost_factor/M7</f>
        <v>0.119655920948408</v>
      </c>
      <c r="BF7" s="197" t="n">
        <f aca="false">Algae_yield_cost_factor/N7</f>
        <v>0.116493706891532</v>
      </c>
      <c r="BG7" s="197" t="n">
        <f aca="false">Algae_yield_cost_factor/O7</f>
        <v>0.111982112460725</v>
      </c>
      <c r="BH7" s="197" t="n">
        <f aca="false">Algae_yield_cost_factor/P7</f>
        <v>0.105994589051832</v>
      </c>
      <c r="BI7" s="197" t="n">
        <f aca="false">Algae_yield_cost_factor/Q7</f>
        <v>0.0987679221196363</v>
      </c>
      <c r="BJ7" s="197" t="n">
        <f aca="false">Algae_yield_cost_factor/R7</f>
        <v>0.0909814935551767</v>
      </c>
      <c r="BK7" s="197" t="n">
        <f aca="false">Algae_yield_cost_factor/S7</f>
        <v>0.0835538049868348</v>
      </c>
      <c r="BL7" s="197" t="n">
        <f aca="false">Algae_yield_cost_factor/T7</f>
        <v>0.077247364584117</v>
      </c>
      <c r="BM7" s="197" t="n">
        <f aca="false">Algae_yield_cost_factor/U7</f>
        <v>0.0724011937131796</v>
      </c>
      <c r="BN7" s="197" t="n">
        <f aca="false">Algae_yield_cost_factor/V7</f>
        <v>0.0689549226850496</v>
      </c>
      <c r="BO7" s="197" t="n">
        <f aca="false">Algae_yield_cost_factor/W7</f>
        <v>0.0666370173304396</v>
      </c>
      <c r="BP7" s="197" t="n">
        <f aca="false">Algae_yield_cost_factor/X7</f>
        <v>0.0651358991208018</v>
      </c>
      <c r="BQ7" s="197" t="n">
        <f aca="false">Algae_yield_cost_factor/Y7</f>
        <v>0.0641874261051549</v>
      </c>
      <c r="BR7" s="197" t="n">
        <f aca="false">Algae_yield_cost_factor/Z7</f>
        <v>0.06359744523509</v>
      </c>
      <c r="BS7" s="197" t="n">
        <f aca="false">Algae_yield_cost_factor/AA7</f>
        <v>0.0632340239559358</v>
      </c>
      <c r="BT7" s="197" t="n">
        <f aca="false">Algae_yield_cost_factor/AB7</f>
        <v>0.063011505638887</v>
      </c>
      <c r="BU7" s="197" t="n">
        <f aca="false">Algae_yield_cost_factor/AC7</f>
        <v>0.0628757627936906</v>
      </c>
    </row>
    <row r="8" customFormat="false" ht="15" hidden="false" customHeight="false" outlineLevel="0" collapsed="false">
      <c r="A8" s="18" t="s">
        <v>50</v>
      </c>
      <c r="B8" s="18" t="s">
        <v>22</v>
      </c>
      <c r="C8" s="18" t="s">
        <v>684</v>
      </c>
      <c r="D8" s="18" t="s">
        <v>684</v>
      </c>
      <c r="E8" s="28" t="n">
        <v>6.035202</v>
      </c>
      <c r="F8" s="185" t="n">
        <f aca="false">E8/$B$2*$F$3/1000</f>
        <v>0.0147862449</v>
      </c>
      <c r="G8" s="18" t="n">
        <f aca="false">LOOKUP(RIGHT(D8,5),Ref!$C$4:$C$21,Ref!$E$4:$E$21)*$G$3</f>
        <v>3.5</v>
      </c>
      <c r="H8" s="218" t="n">
        <f aca="false">$E8</f>
        <v>6.035202</v>
      </c>
      <c r="I8" s="177" t="n">
        <f aca="false">$E8</f>
        <v>6.035202</v>
      </c>
      <c r="J8" s="177" t="n">
        <f aca="false">$E8</f>
        <v>6.035202</v>
      </c>
      <c r="K8" s="177" t="n">
        <f aca="false">$E8</f>
        <v>6.035202</v>
      </c>
      <c r="L8" s="177" t="n">
        <f aca="false">$E8</f>
        <v>6.035202</v>
      </c>
      <c r="M8" s="177" t="n">
        <f aca="false">M$3*$E8</f>
        <v>6.321426724653</v>
      </c>
      <c r="N8" s="177" t="n">
        <f aca="false">N$3*$E8</f>
        <v>6.49302143978057</v>
      </c>
      <c r="O8" s="177" t="n">
        <f aca="false">O$3*$E8</f>
        <v>6.75461571339373</v>
      </c>
      <c r="P8" s="177" t="n">
        <f aca="false">P$3*$E8</f>
        <v>7.13617688612717</v>
      </c>
      <c r="Q8" s="177" t="n">
        <f aca="false">Q$3*$E8</f>
        <v>7.65831780413504</v>
      </c>
      <c r="R8" s="177" t="n">
        <f aca="false">R$3*$E8</f>
        <v>8.31373619941191</v>
      </c>
      <c r="S8" s="177" t="n">
        <f aca="false">S$3*$E8</f>
        <v>9.052803</v>
      </c>
      <c r="T8" s="177" t="n">
        <f aca="false">T$3*$E8</f>
        <v>9.79186980058809</v>
      </c>
      <c r="U8" s="177" t="n">
        <f aca="false">U$3*$E8</f>
        <v>10.447288195865</v>
      </c>
      <c r="V8" s="177" t="n">
        <f aca="false">V$3*$E8</f>
        <v>10.9694291138728</v>
      </c>
      <c r="W8" s="177" t="n">
        <f aca="false">W$3*$E8</f>
        <v>11.3509902866063</v>
      </c>
      <c r="X8" s="177" t="n">
        <f aca="false">X$3*$E8</f>
        <v>11.6125845602194</v>
      </c>
      <c r="Y8" s="177" t="n">
        <f aca="false">Y$3*$E8</f>
        <v>11.784179275347</v>
      </c>
      <c r="Z8" s="177" t="n">
        <f aca="false">Z$3*$E8</f>
        <v>11.893498766345</v>
      </c>
      <c r="AA8" s="177" t="n">
        <f aca="false">AA$3*$E8</f>
        <v>11.9618535896644</v>
      </c>
      <c r="AB8" s="177" t="n">
        <f aca="false">AB$3*$E8</f>
        <v>12.004095581862</v>
      </c>
      <c r="AC8" s="177" t="n">
        <f aca="false">AC$3*$E8</f>
        <v>12.0300112927161</v>
      </c>
      <c r="AD8" s="219" t="n">
        <f aca="false">Algae_electricity_factor/H8</f>
        <v>0.00227723895629827</v>
      </c>
      <c r="AE8" s="220" t="n">
        <f aca="false">Algae_electricity_factor/I8</f>
        <v>0.00227723895629827</v>
      </c>
      <c r="AF8" s="220" t="n">
        <f aca="false">Algae_electricity_factor/J8</f>
        <v>0.00227723895629827</v>
      </c>
      <c r="AG8" s="220" t="n">
        <f aca="false">Algae_electricity_factor/K8</f>
        <v>0.00227723895629827</v>
      </c>
      <c r="AH8" s="220" t="n">
        <f aca="false">Algae_electricity_factor/L8</f>
        <v>0.00227723895629827</v>
      </c>
      <c r="AI8" s="220" t="n">
        <f aca="false">Algae_electricity_factor/M8</f>
        <v>0.0021741289905221</v>
      </c>
      <c r="AJ8" s="220" t="n">
        <f aca="false">Algae_electricity_factor/N8</f>
        <v>0.002116672065693</v>
      </c>
      <c r="AK8" s="220" t="n">
        <f aca="false">Algae_electricity_factor/O8</f>
        <v>0.00203469711478583</v>
      </c>
      <c r="AL8" s="220" t="n">
        <f aca="false">Algae_electricity_factor/P8</f>
        <v>0.00192590476985611</v>
      </c>
      <c r="AM8" s="220" t="n">
        <f aca="false">Algae_electricity_factor/Q8</f>
        <v>0.00179459738483411</v>
      </c>
      <c r="AN8" s="220" t="n">
        <f aca="false">Algae_electricity_factor/R8</f>
        <v>0.00165311922027324</v>
      </c>
      <c r="AO8" s="220" t="n">
        <f aca="false">Algae_electricity_factor/S8</f>
        <v>0.00151815930419885</v>
      </c>
      <c r="AP8" s="220" t="n">
        <f aca="false">Algae_electricity_factor/T8</f>
        <v>0.00140357228837988</v>
      </c>
      <c r="AQ8" s="220" t="n">
        <f aca="false">Algae_electricity_factor/U8</f>
        <v>0.00131551813694285</v>
      </c>
      <c r="AR8" s="220" t="n">
        <f aca="false">Algae_electricity_factor/V8</f>
        <v>0.00125289994227211</v>
      </c>
      <c r="AS8" s="220" t="n">
        <f aca="false">Algae_electricity_factor/W8</f>
        <v>0.00121078397183955</v>
      </c>
      <c r="AT8" s="220" t="n">
        <f aca="false">Algae_electricity_factor/X8</f>
        <v>0.00118350889349903</v>
      </c>
      <c r="AU8" s="220" t="n">
        <f aca="false">Algae_electricity_factor/Y8</f>
        <v>0.00116627529014952</v>
      </c>
      <c r="AV8" s="220" t="n">
        <f aca="false">Algae_electricity_factor/Z8</f>
        <v>0.00115555543188179</v>
      </c>
      <c r="AW8" s="220" t="n">
        <f aca="false">Algae_electricity_factor/AA8</f>
        <v>0.00114895212522952</v>
      </c>
      <c r="AX8" s="220" t="n">
        <f aca="false">Algae_electricity_factor/AB8</f>
        <v>0.00114490900291528</v>
      </c>
      <c r="AY8" s="220" t="n">
        <f aca="false">Algae_electricity_factor/AC8</f>
        <v>0.00114244257707811</v>
      </c>
      <c r="AZ8" s="221" t="n">
        <f aca="false">Algae_yield_cost_factor/H8</f>
        <v>0.126067465394898</v>
      </c>
      <c r="BA8" s="197" t="n">
        <f aca="false">Algae_yield_cost_factor/I8</f>
        <v>0.126067465394898</v>
      </c>
      <c r="BB8" s="197" t="n">
        <f aca="false">Algae_yield_cost_factor/J8</f>
        <v>0.126067465394898</v>
      </c>
      <c r="BC8" s="197" t="n">
        <f aca="false">Algae_yield_cost_factor/K8</f>
        <v>0.126067465394898</v>
      </c>
      <c r="BD8" s="197" t="n">
        <f aca="false">Algae_yield_cost_factor/L8</f>
        <v>0.126067465394898</v>
      </c>
      <c r="BE8" s="197" t="n">
        <f aca="false">Algae_yield_cost_factor/M8</f>
        <v>0.120359319569267</v>
      </c>
      <c r="BF8" s="197" t="n">
        <f aca="false">Algae_yield_cost_factor/N8</f>
        <v>0.117178516402978</v>
      </c>
      <c r="BG8" s="197" t="n">
        <f aca="false">Algae_yield_cost_factor/O8</f>
        <v>0.112640400515686</v>
      </c>
      <c r="BH8" s="197" t="n">
        <f aca="false">Algae_yield_cost_factor/P8</f>
        <v>0.106617679385906</v>
      </c>
      <c r="BI8" s="197" t="n">
        <f aca="false">Algae_yield_cost_factor/Q8</f>
        <v>0.0993485304142651</v>
      </c>
      <c r="BJ8" s="197" t="n">
        <f aca="false">Algae_yield_cost_factor/R8</f>
        <v>0.0915163292455729</v>
      </c>
      <c r="BK8" s="197" t="n">
        <f aca="false">Algae_yield_cost_factor/S8</f>
        <v>0.0840449769299318</v>
      </c>
      <c r="BL8" s="197" t="n">
        <f aca="false">Algae_yield_cost_factor/T8</f>
        <v>0.0777014640493404</v>
      </c>
      <c r="BM8" s="197" t="n">
        <f aca="false">Algae_yield_cost_factor/U8</f>
        <v>0.0728268049107097</v>
      </c>
      <c r="BN8" s="197" t="n">
        <f aca="false">Algae_yield_cost_factor/V8</f>
        <v>0.0693602749411995</v>
      </c>
      <c r="BO8" s="197" t="n">
        <f aca="false">Algae_yield_cost_factor/W8</f>
        <v>0.0670287437549817</v>
      </c>
      <c r="BP8" s="197" t="n">
        <f aca="false">Algae_yield_cost_factor/X8</f>
        <v>0.0655188012057706</v>
      </c>
      <c r="BQ8" s="197" t="n">
        <f aca="false">Algae_yield_cost_factor/Y8</f>
        <v>0.0645647525812792</v>
      </c>
      <c r="BR8" s="197" t="n">
        <f aca="false">Algae_yield_cost_factor/Z8</f>
        <v>0.0639713035023113</v>
      </c>
      <c r="BS8" s="197" t="n">
        <f aca="false">Algae_yield_cost_factor/AA8</f>
        <v>0.0636057458472509</v>
      </c>
      <c r="BT8" s="197" t="n">
        <f aca="false">Algae_yield_cost_factor/AB8</f>
        <v>0.0633819194538772</v>
      </c>
      <c r="BU8" s="197" t="n">
        <f aca="false">Algae_yield_cost_factor/AC8</f>
        <v>0.0632453786429023</v>
      </c>
    </row>
    <row r="9" customFormat="false" ht="15" hidden="false" customHeight="false" outlineLevel="0" collapsed="false">
      <c r="A9" s="18" t="s">
        <v>50</v>
      </c>
      <c r="B9" s="18" t="s">
        <v>22</v>
      </c>
      <c r="C9" s="18" t="s">
        <v>685</v>
      </c>
      <c r="D9" s="18" t="s">
        <v>685</v>
      </c>
      <c r="E9" s="28" t="n">
        <v>6.5214185</v>
      </c>
      <c r="F9" s="185" t="n">
        <f aca="false">E9/$B$2*$F$3/1000</f>
        <v>0.015977475325</v>
      </c>
      <c r="G9" s="18" t="n">
        <f aca="false">LOOKUP(RIGHT(D9,5),Ref!$C$4:$C$21,Ref!$E$4:$E$21)*$G$3</f>
        <v>4</v>
      </c>
      <c r="H9" s="218" t="n">
        <f aca="false">$E9</f>
        <v>6.5214185</v>
      </c>
      <c r="I9" s="177" t="n">
        <f aca="false">$E9</f>
        <v>6.5214185</v>
      </c>
      <c r="J9" s="177" t="n">
        <f aca="false">$E9</f>
        <v>6.5214185</v>
      </c>
      <c r="K9" s="177" t="n">
        <f aca="false">$E9</f>
        <v>6.5214185</v>
      </c>
      <c r="L9" s="177" t="n">
        <f aca="false">$E9</f>
        <v>6.5214185</v>
      </c>
      <c r="M9" s="177" t="n">
        <f aca="false">M$3*$E9</f>
        <v>6.83070246671884</v>
      </c>
      <c r="N9" s="177" t="n">
        <f aca="false">N$3*$E9</f>
        <v>7.01612143856687</v>
      </c>
      <c r="O9" s="177" t="n">
        <f aca="false">O$3*$E9</f>
        <v>7.2987906409291</v>
      </c>
      <c r="P9" s="177" t="n">
        <f aca="false">P$3*$E9</f>
        <v>7.71109168582296</v>
      </c>
      <c r="Q9" s="177" t="n">
        <f aca="false">Q$3*$E9</f>
        <v>8.27529806073858</v>
      </c>
      <c r="R9" s="177" t="n">
        <f aca="false">R$3*$E9</f>
        <v>8.9835192020026</v>
      </c>
      <c r="S9" s="177" t="n">
        <f aca="false">S$3*$E9</f>
        <v>9.78212775</v>
      </c>
      <c r="T9" s="177" t="n">
        <f aca="false">T$3*$E9</f>
        <v>10.5807362979974</v>
      </c>
      <c r="U9" s="177" t="n">
        <f aca="false">U$3*$E9</f>
        <v>11.2889574392614</v>
      </c>
      <c r="V9" s="177" t="n">
        <f aca="false">V$3*$E9</f>
        <v>11.853163814177</v>
      </c>
      <c r="W9" s="177" t="n">
        <f aca="false">W$3*$E9</f>
        <v>12.2654648590709</v>
      </c>
      <c r="X9" s="177" t="n">
        <f aca="false">X$3*$E9</f>
        <v>12.5481340614331</v>
      </c>
      <c r="Y9" s="177" t="n">
        <f aca="false">Y$3*$E9</f>
        <v>12.7335530332812</v>
      </c>
      <c r="Z9" s="177" t="n">
        <f aca="false">Z$3*$E9</f>
        <v>12.8516796761018</v>
      </c>
      <c r="AA9" s="177" t="n">
        <f aca="false">AA$3*$E9</f>
        <v>12.9255413976083</v>
      </c>
      <c r="AB9" s="177" t="n">
        <f aca="false">AB$3*$E9</f>
        <v>12.9711865490704</v>
      </c>
      <c r="AC9" s="177" t="n">
        <f aca="false">AC$3*$E9</f>
        <v>12.9991901181646</v>
      </c>
      <c r="AD9" s="219" t="n">
        <f aca="false">Algae_electricity_factor/H9</f>
        <v>0.00210745516539527</v>
      </c>
      <c r="AE9" s="220" t="n">
        <f aca="false">Algae_electricity_factor/I9</f>
        <v>0.00210745516539527</v>
      </c>
      <c r="AF9" s="220" t="n">
        <f aca="false">Algae_electricity_factor/J9</f>
        <v>0.00210745516539527</v>
      </c>
      <c r="AG9" s="220" t="n">
        <f aca="false">Algae_electricity_factor/K9</f>
        <v>0.00210745516539527</v>
      </c>
      <c r="AH9" s="220" t="n">
        <f aca="false">Algae_electricity_factor/L9</f>
        <v>0.00210745516539527</v>
      </c>
      <c r="AI9" s="220" t="n">
        <f aca="false">Algae_electricity_factor/M9</f>
        <v>0.00201203275512175</v>
      </c>
      <c r="AJ9" s="220" t="n">
        <f aca="false">Algae_electricity_factor/N9</f>
        <v>0.00195885963831558</v>
      </c>
      <c r="AK9" s="220" t="n">
        <f aca="false">Algae_electricity_factor/O9</f>
        <v>0.00188299648252135</v>
      </c>
      <c r="AL9" s="220" t="n">
        <f aca="false">Algae_electricity_factor/P9</f>
        <v>0.00178231535345342</v>
      </c>
      <c r="AM9" s="220" t="n">
        <f aca="false">Algae_electricity_factor/Q9</f>
        <v>0.00166079783503322</v>
      </c>
      <c r="AN9" s="220" t="n">
        <f aca="false">Algae_electricity_factor/R9</f>
        <v>0.001529867838482</v>
      </c>
      <c r="AO9" s="220" t="n">
        <f aca="false">Algae_electricity_factor/S9</f>
        <v>0.00140497011026351</v>
      </c>
      <c r="AP9" s="220" t="n">
        <f aca="false">Algae_electricity_factor/T9</f>
        <v>0.00129892634278491</v>
      </c>
      <c r="AQ9" s="220" t="n">
        <f aca="false">Algae_electricity_factor/U9</f>
        <v>0.00121743723257658</v>
      </c>
      <c r="AR9" s="220" t="n">
        <f aca="false">Algae_electricity_factor/V9</f>
        <v>0.00115948765401278</v>
      </c>
      <c r="AS9" s="220" t="n">
        <f aca="false">Algae_electricity_factor/W9</f>
        <v>0.00112051171818125</v>
      </c>
      <c r="AT9" s="220" t="n">
        <f aca="false">Algae_electricity_factor/X9</f>
        <v>0.00109527018409617</v>
      </c>
      <c r="AU9" s="220" t="n">
        <f aca="false">Algae_electricity_factor/Y9</f>
        <v>0.00107932146413559</v>
      </c>
      <c r="AV9" s="220" t="n">
        <f aca="false">Algae_electricity_factor/Z9</f>
        <v>0.00106940084486279</v>
      </c>
      <c r="AW9" s="220" t="n">
        <f aca="false">Algae_electricity_factor/AA9</f>
        <v>0.0010632898600342</v>
      </c>
      <c r="AX9" s="220" t="n">
        <f aca="false">Algae_electricity_factor/AB9</f>
        <v>0.00105954818023292</v>
      </c>
      <c r="AY9" s="220" t="n">
        <f aca="false">Algae_electricity_factor/AC9</f>
        <v>0.00105726564336685</v>
      </c>
      <c r="AZ9" s="221" t="n">
        <f aca="false">Algae_yield_cost_factor/H9</f>
        <v>0.116668270758305</v>
      </c>
      <c r="BA9" s="197" t="n">
        <f aca="false">Algae_yield_cost_factor/I9</f>
        <v>0.116668270758305</v>
      </c>
      <c r="BB9" s="197" t="n">
        <f aca="false">Algae_yield_cost_factor/J9</f>
        <v>0.116668270758305</v>
      </c>
      <c r="BC9" s="197" t="n">
        <f aca="false">Algae_yield_cost_factor/K9</f>
        <v>0.116668270758305</v>
      </c>
      <c r="BD9" s="197" t="n">
        <f aca="false">Algae_yield_cost_factor/L9</f>
        <v>0.116668270758305</v>
      </c>
      <c r="BE9" s="197" t="n">
        <f aca="false">Algae_yield_cost_factor/M9</f>
        <v>0.111385706374017</v>
      </c>
      <c r="BF9" s="197" t="n">
        <f aca="false">Algae_yield_cost_factor/N9</f>
        <v>0.108442053910861</v>
      </c>
      <c r="BG9" s="197" t="n">
        <f aca="false">Algae_yield_cost_factor/O9</f>
        <v>0.10424228570411</v>
      </c>
      <c r="BH9" s="197" t="n">
        <f aca="false">Algae_yield_cost_factor/P9</f>
        <v>0.0986685997632535</v>
      </c>
      <c r="BI9" s="197" t="n">
        <f aca="false">Algae_yield_cost_factor/Q9</f>
        <v>0.0919414157292978</v>
      </c>
      <c r="BJ9" s="197" t="n">
        <f aca="false">Algae_yield_cost_factor/R9</f>
        <v>0.0846931589033184</v>
      </c>
      <c r="BK9" s="197" t="n">
        <f aca="false">Algae_yield_cost_factor/S9</f>
        <v>0.0777788471722032</v>
      </c>
      <c r="BL9" s="197" t="n">
        <f aca="false">Algae_yield_cost_factor/T9</f>
        <v>0.0719082867068732</v>
      </c>
      <c r="BM9" s="197" t="n">
        <f aca="false">Algae_yield_cost_factor/U9</f>
        <v>0.0673970668575748</v>
      </c>
      <c r="BN9" s="197" t="n">
        <f aca="false">Algae_yield_cost_factor/V9</f>
        <v>0.0641889904850727</v>
      </c>
      <c r="BO9" s="197" t="n">
        <f aca="false">Algae_yield_cost_factor/W9</f>
        <v>0.0620312909480588</v>
      </c>
      <c r="BP9" s="197" t="n">
        <f aca="false">Algae_yield_cost_factor/X9</f>
        <v>0.0606339249773142</v>
      </c>
      <c r="BQ9" s="197" t="n">
        <f aca="false">Algae_yield_cost_factor/Y9</f>
        <v>0.0597510072245849</v>
      </c>
      <c r="BR9" s="197" t="n">
        <f aca="false">Algae_yield_cost_factor/Z9</f>
        <v>0.0592018038467791</v>
      </c>
      <c r="BS9" s="197" t="n">
        <f aca="false">Algae_yield_cost_factor/AA9</f>
        <v>0.0588635010234078</v>
      </c>
      <c r="BT9" s="197" t="n">
        <f aca="false">Algae_yield_cost_factor/AB9</f>
        <v>0.058656362423586</v>
      </c>
      <c r="BU9" s="197" t="n">
        <f aca="false">Algae_yield_cost_factor/AC9</f>
        <v>0.0585300016670302</v>
      </c>
    </row>
    <row r="10" customFormat="false" ht="15" hidden="false" customHeight="false" outlineLevel="0" collapsed="false">
      <c r="A10" s="18" t="s">
        <v>50</v>
      </c>
      <c r="B10" s="18" t="s">
        <v>22</v>
      </c>
      <c r="C10" s="18" t="s">
        <v>686</v>
      </c>
      <c r="D10" s="18" t="s">
        <v>686</v>
      </c>
      <c r="E10" s="28" t="n">
        <v>6.07579</v>
      </c>
      <c r="F10" s="185" t="n">
        <f aca="false">E10/$B$2*$F$3/1000</f>
        <v>0.0148856855</v>
      </c>
      <c r="G10" s="18" t="n">
        <f aca="false">LOOKUP(RIGHT(D10,5),Ref!$C$4:$C$21,Ref!$E$4:$E$21)*$G$3</f>
        <v>4.5</v>
      </c>
      <c r="H10" s="218" t="n">
        <f aca="false">$E10</f>
        <v>6.07579</v>
      </c>
      <c r="I10" s="177" t="n">
        <f aca="false">$E10</f>
        <v>6.07579</v>
      </c>
      <c r="J10" s="177" t="n">
        <f aca="false">$E10</f>
        <v>6.07579</v>
      </c>
      <c r="K10" s="177" t="n">
        <f aca="false">$E10</f>
        <v>6.07579</v>
      </c>
      <c r="L10" s="177" t="n">
        <f aca="false">$E10</f>
        <v>6.07579</v>
      </c>
      <c r="M10" s="177" t="n">
        <f aca="false">M$3*$E10</f>
        <v>6.36393964599353</v>
      </c>
      <c r="N10" s="177" t="n">
        <f aca="false">N$3*$E10</f>
        <v>6.53668837159127</v>
      </c>
      <c r="O10" s="177" t="n">
        <f aca="false">O$3*$E10</f>
        <v>6.80004192159276</v>
      </c>
      <c r="P10" s="177" t="n">
        <f aca="false">P$3*$E10</f>
        <v>7.18416917328742</v>
      </c>
      <c r="Q10" s="177" t="n">
        <f aca="false">Q$3*$E10</f>
        <v>7.7098215985456</v>
      </c>
      <c r="R10" s="177" t="n">
        <f aca="false">R$3*$E10</f>
        <v>8.36964782007708</v>
      </c>
      <c r="S10" s="177" t="n">
        <f aca="false">S$3*$E10</f>
        <v>9.113685</v>
      </c>
      <c r="T10" s="177" t="n">
        <f aca="false">T$3*$E10</f>
        <v>9.85772217992291</v>
      </c>
      <c r="U10" s="177" t="n">
        <f aca="false">U$3*$E10</f>
        <v>10.5175484014544</v>
      </c>
      <c r="V10" s="177" t="n">
        <f aca="false">V$3*$E10</f>
        <v>11.0432008267126</v>
      </c>
      <c r="W10" s="177" t="n">
        <f aca="false">W$3*$E10</f>
        <v>11.4273280784072</v>
      </c>
      <c r="X10" s="177" t="n">
        <f aca="false">X$3*$E10</f>
        <v>11.6906816284087</v>
      </c>
      <c r="Y10" s="177" t="n">
        <f aca="false">Y$3*$E10</f>
        <v>11.8634303540065</v>
      </c>
      <c r="Z10" s="177" t="n">
        <f aca="false">Z$3*$E10</f>
        <v>11.9734850415232</v>
      </c>
      <c r="AA10" s="177" t="n">
        <f aca="false">AA$3*$E10</f>
        <v>12.0422995653744</v>
      </c>
      <c r="AB10" s="177" t="n">
        <f aca="false">AB$3*$E10</f>
        <v>12.0848256438345</v>
      </c>
      <c r="AC10" s="177" t="n">
        <f aca="false">AC$3*$E10</f>
        <v>12.1109156432827</v>
      </c>
      <c r="AD10" s="219" t="n">
        <f aca="false">Algae_electricity_factor/H10</f>
        <v>0.00226202635435544</v>
      </c>
      <c r="AE10" s="220" t="n">
        <f aca="false">Algae_electricity_factor/I10</f>
        <v>0.00226202635435544</v>
      </c>
      <c r="AF10" s="220" t="n">
        <f aca="false">Algae_electricity_factor/J10</f>
        <v>0.00226202635435544</v>
      </c>
      <c r="AG10" s="220" t="n">
        <f aca="false">Algae_electricity_factor/K10</f>
        <v>0.00226202635435544</v>
      </c>
      <c r="AH10" s="220" t="n">
        <f aca="false">Algae_electricity_factor/L10</f>
        <v>0.00226202635435544</v>
      </c>
      <c r="AI10" s="220" t="n">
        <f aca="false">Algae_electricity_factor/M10</f>
        <v>0.00215960519238765</v>
      </c>
      <c r="AJ10" s="220" t="n">
        <f aca="false">Algae_electricity_factor/N10</f>
        <v>0.00210253209610841</v>
      </c>
      <c r="AK10" s="220" t="n">
        <f aca="false">Algae_electricity_factor/O10</f>
        <v>0.00202110476111743</v>
      </c>
      <c r="AL10" s="220" t="n">
        <f aca="false">Algae_electricity_factor/P10</f>
        <v>0.00191303917990009</v>
      </c>
      <c r="AM10" s="220" t="n">
        <f aca="false">Algae_electricity_factor/Q10</f>
        <v>0.00178260896544245</v>
      </c>
      <c r="AN10" s="220" t="n">
        <f aca="false">Algae_electricity_factor/R10</f>
        <v>0.00164207591513721</v>
      </c>
      <c r="AO10" s="220" t="n">
        <f aca="false">Algae_electricity_factor/S10</f>
        <v>0.0015080175695703</v>
      </c>
      <c r="AP10" s="220" t="n">
        <f aca="false">Algae_electricity_factor/T10</f>
        <v>0.00139419602750833</v>
      </c>
      <c r="AQ10" s="220" t="n">
        <f aca="false">Algae_electricity_factor/U10</f>
        <v>0.00130673010277079</v>
      </c>
      <c r="AR10" s="220" t="n">
        <f aca="false">Algae_electricity_factor/V10</f>
        <v>0.00124453021539594</v>
      </c>
      <c r="AS10" s="220" t="n">
        <f aca="false">Algae_electricity_factor/W10</f>
        <v>0.00120269559158792</v>
      </c>
      <c r="AT10" s="220" t="n">
        <f aca="false">Algae_electricity_factor/X10</f>
        <v>0.00117560271850462</v>
      </c>
      <c r="AU10" s="220" t="n">
        <f aca="false">Algae_electricity_factor/Y10</f>
        <v>0.00115848424051209</v>
      </c>
      <c r="AV10" s="220" t="n">
        <f aca="false">Algae_electricity_factor/Z10</f>
        <v>0.00114783599393722</v>
      </c>
      <c r="AW10" s="220" t="n">
        <f aca="false">Algae_electricity_factor/AA10</f>
        <v>0.00114127679924577</v>
      </c>
      <c r="AX10" s="220" t="n">
        <f aca="false">Algae_electricity_factor/AB10</f>
        <v>0.00113726068613502</v>
      </c>
      <c r="AY10" s="220" t="n">
        <f aca="false">Algae_electricity_factor/AC10</f>
        <v>0.0011348107367218</v>
      </c>
      <c r="AZ10" s="221" t="n">
        <f aca="false">Algae_yield_cost_factor/H10</f>
        <v>0.125225298979428</v>
      </c>
      <c r="BA10" s="197" t="n">
        <f aca="false">Algae_yield_cost_factor/I10</f>
        <v>0.125225298979428</v>
      </c>
      <c r="BB10" s="197" t="n">
        <f aca="false">Algae_yield_cost_factor/J10</f>
        <v>0.125225298979428</v>
      </c>
      <c r="BC10" s="197" t="n">
        <f aca="false">Algae_yield_cost_factor/K10</f>
        <v>0.125225298979428</v>
      </c>
      <c r="BD10" s="197" t="n">
        <f aca="false">Algae_yield_cost_factor/L10</f>
        <v>0.125225298979428</v>
      </c>
      <c r="BE10" s="197" t="n">
        <f aca="false">Algae_yield_cost_factor/M10</f>
        <v>0.119555285186467</v>
      </c>
      <c r="BF10" s="197" t="n">
        <f aca="false">Algae_yield_cost_factor/N10</f>
        <v>0.11639573068725</v>
      </c>
      <c r="BG10" s="197" t="n">
        <f aca="false">Algae_yield_cost_factor/O10</f>
        <v>0.111887930700875</v>
      </c>
      <c r="BH10" s="197" t="n">
        <f aca="false">Algae_yield_cost_factor/P10</f>
        <v>0.105905443055994</v>
      </c>
      <c r="BI10" s="197" t="n">
        <f aca="false">Algae_yield_cost_factor/Q10</f>
        <v>0.0986848540606627</v>
      </c>
      <c r="BJ10" s="197" t="n">
        <f aca="false">Algae_yield_cost_factor/R10</f>
        <v>0.0909049742166105</v>
      </c>
      <c r="BK10" s="197" t="n">
        <f aca="false">Algae_yield_cost_factor/S10</f>
        <v>0.0834835326529519</v>
      </c>
      <c r="BL10" s="197" t="n">
        <f aca="false">Algae_yield_cost_factor/T10</f>
        <v>0.077182396237116</v>
      </c>
      <c r="BM10" s="197" t="n">
        <f aca="false">Algae_yield_cost_factor/U10</f>
        <v>0.0723403012037488</v>
      </c>
      <c r="BN10" s="197" t="n">
        <f aca="false">Algae_yield_cost_factor/V10</f>
        <v>0.0688969286373751</v>
      </c>
      <c r="BO10" s="197" t="n">
        <f aca="false">Algae_yield_cost_factor/W10</f>
        <v>0.0665809727405906</v>
      </c>
      <c r="BP10" s="197" t="n">
        <f aca="false">Algae_yield_cost_factor/X10</f>
        <v>0.0650811170357549</v>
      </c>
      <c r="BQ10" s="197" t="n">
        <f aca="false">Algae_yield_cost_factor/Y10</f>
        <v>0.0641334417265971</v>
      </c>
      <c r="BR10" s="197" t="n">
        <f aca="false">Algae_yield_cost_factor/Z10</f>
        <v>0.0635439570557501</v>
      </c>
      <c r="BS10" s="197" t="n">
        <f aca="false">Algae_yield_cost_factor/AA10</f>
        <v>0.06318084142948</v>
      </c>
      <c r="BT10" s="197" t="n">
        <f aca="false">Algae_yield_cost_factor/AB10</f>
        <v>0.0629585102598804</v>
      </c>
      <c r="BU10" s="197" t="n">
        <f aca="false">Algae_yield_cost_factor/AC10</f>
        <v>0.0628228815802392</v>
      </c>
    </row>
    <row r="11" customFormat="false" ht="15" hidden="false" customHeight="false" outlineLevel="0" collapsed="false">
      <c r="A11" s="18" t="s">
        <v>50</v>
      </c>
      <c r="B11" s="18" t="s">
        <v>22</v>
      </c>
      <c r="C11" s="18" t="s">
        <v>687</v>
      </c>
      <c r="D11" s="18" t="s">
        <v>687</v>
      </c>
      <c r="E11" s="28" t="n">
        <v>4.56907</v>
      </c>
      <c r="F11" s="185" t="n">
        <f aca="false">E11/$B$2*$F$3/1000</f>
        <v>0.0111942215</v>
      </c>
      <c r="G11" s="18" t="n">
        <f aca="false">LOOKUP(RIGHT(D11,5),Ref!$C$4:$C$21,Ref!$E$4:$E$21)*$G$3</f>
        <v>4.5</v>
      </c>
      <c r="H11" s="218" t="n">
        <f aca="false">$E11</f>
        <v>4.56907</v>
      </c>
      <c r="I11" s="177" t="n">
        <f aca="false">$E11</f>
        <v>4.56907</v>
      </c>
      <c r="J11" s="177" t="n">
        <f aca="false">$E11</f>
        <v>4.56907</v>
      </c>
      <c r="K11" s="177" t="n">
        <f aca="false">$E11</f>
        <v>4.56907</v>
      </c>
      <c r="L11" s="177" t="n">
        <f aca="false">$E11</f>
        <v>4.56907</v>
      </c>
      <c r="M11" s="177" t="n">
        <f aca="false">M$3*$E11</f>
        <v>4.78576213435943</v>
      </c>
      <c r="N11" s="177" t="n">
        <f aca="false">N$3*$E11</f>
        <v>4.91567133458966</v>
      </c>
      <c r="O11" s="177" t="n">
        <f aca="false">O$3*$E11</f>
        <v>5.1137164949236</v>
      </c>
      <c r="P11" s="177" t="n">
        <f aca="false">P$3*$E11</f>
        <v>5.40258498805791</v>
      </c>
      <c r="Q11" s="177" t="n">
        <f aca="false">Q$3*$E11</f>
        <v>5.797882180139</v>
      </c>
      <c r="R11" s="177" t="n">
        <f aca="false">R$3*$E11</f>
        <v>6.29407974358554</v>
      </c>
      <c r="S11" s="177" t="n">
        <f aca="false">S$3*$E11</f>
        <v>6.853605</v>
      </c>
      <c r="T11" s="177" t="n">
        <f aca="false">T$3*$E11</f>
        <v>7.41313025641446</v>
      </c>
      <c r="U11" s="177" t="n">
        <f aca="false">U$3*$E11</f>
        <v>7.909327819861</v>
      </c>
      <c r="V11" s="177" t="n">
        <f aca="false">V$3*$E11</f>
        <v>8.30462501194209</v>
      </c>
      <c r="W11" s="177" t="n">
        <f aca="false">W$3*$E11</f>
        <v>8.5934935050764</v>
      </c>
      <c r="X11" s="177" t="n">
        <f aca="false">X$3*$E11</f>
        <v>8.79153866541034</v>
      </c>
      <c r="Y11" s="177" t="n">
        <f aca="false">Y$3*$E11</f>
        <v>8.92144786564058</v>
      </c>
      <c r="Z11" s="177" t="n">
        <f aca="false">Z$3*$E11</f>
        <v>9.0042103658409</v>
      </c>
      <c r="AA11" s="177" t="n">
        <f aca="false">AA$3*$E11</f>
        <v>9.05595974764851</v>
      </c>
      <c r="AB11" s="177" t="n">
        <f aca="false">AB$3*$E11</f>
        <v>9.08793989003484</v>
      </c>
      <c r="AC11" s="177" t="n">
        <f aca="false">AC$3*$E11</f>
        <v>9.10755989562738</v>
      </c>
      <c r="AD11" s="219" t="n">
        <f aca="false">Algae_electricity_factor/H11</f>
        <v>0.00300796378771375</v>
      </c>
      <c r="AE11" s="220" t="n">
        <f aca="false">Algae_electricity_factor/I11</f>
        <v>0.00300796378771375</v>
      </c>
      <c r="AF11" s="220" t="n">
        <f aca="false">Algae_electricity_factor/J11</f>
        <v>0.00300796378771375</v>
      </c>
      <c r="AG11" s="220" t="n">
        <f aca="false">Algae_electricity_factor/K11</f>
        <v>0.00300796378771375</v>
      </c>
      <c r="AH11" s="220" t="n">
        <f aca="false">Algae_electricity_factor/L11</f>
        <v>0.00300796378771375</v>
      </c>
      <c r="AI11" s="220" t="n">
        <f aca="false">Algae_electricity_factor/M11</f>
        <v>0.00287176769711494</v>
      </c>
      <c r="AJ11" s="220" t="n">
        <f aca="false">Algae_electricity_factor/N11</f>
        <v>0.00279587388335362</v>
      </c>
      <c r="AK11" s="220" t="n">
        <f aca="false">Algae_electricity_factor/O11</f>
        <v>0.002687594651986</v>
      </c>
      <c r="AL11" s="220" t="n">
        <f aca="false">Algae_electricity_factor/P11</f>
        <v>0.00254389280944375</v>
      </c>
      <c r="AM11" s="220" t="n">
        <f aca="false">Algae_electricity_factor/Q11</f>
        <v>0.00237045125728991</v>
      </c>
      <c r="AN11" s="220" t="n">
        <f aca="false">Algae_electricity_factor/R11</f>
        <v>0.00218357530622895</v>
      </c>
      <c r="AO11" s="220" t="n">
        <f aca="false">Algae_electricity_factor/S11</f>
        <v>0.00200530919180917</v>
      </c>
      <c r="AP11" s="220" t="n">
        <f aca="false">Algae_electricity_factor/T11</f>
        <v>0.00185395327319888</v>
      </c>
      <c r="AQ11" s="220" t="n">
        <f aca="false">Algae_electricity_factor/U11</f>
        <v>0.00173764413570239</v>
      </c>
      <c r="AR11" s="220" t="n">
        <f aca="false">Algae_electricity_factor/V11</f>
        <v>0.00165493289387129</v>
      </c>
      <c r="AS11" s="220" t="n">
        <f aca="false">Algae_electricity_factor/W11</f>
        <v>0.00159930266956163</v>
      </c>
      <c r="AT11" s="220" t="n">
        <f aca="false">Algae_electricity_factor/X11</f>
        <v>0.00156327551144175</v>
      </c>
      <c r="AU11" s="220" t="n">
        <f aca="false">Algae_electricity_factor/Y11</f>
        <v>0.00154051195618823</v>
      </c>
      <c r="AV11" s="220" t="n">
        <f aca="false">Algae_electricity_factor/Z11</f>
        <v>0.00152635228911</v>
      </c>
      <c r="AW11" s="220" t="n">
        <f aca="false">Algae_electricity_factor/AA11</f>
        <v>0.00151763010067464</v>
      </c>
      <c r="AX11" s="220" t="n">
        <f aca="false">Algae_electricity_factor/AB11</f>
        <v>0.00151228961346889</v>
      </c>
      <c r="AY11" s="220" t="n">
        <f aca="false">Algae_electricity_factor/AC11</f>
        <v>0.00150903175614883</v>
      </c>
      <c r="AZ11" s="221" t="n">
        <f aca="false">Algae_yield_cost_factor/H11</f>
        <v>0.166520237003639</v>
      </c>
      <c r="BA11" s="197" t="n">
        <f aca="false">Algae_yield_cost_factor/I11</f>
        <v>0.166520237003639</v>
      </c>
      <c r="BB11" s="197" t="n">
        <f aca="false">Algae_yield_cost_factor/J11</f>
        <v>0.166520237003639</v>
      </c>
      <c r="BC11" s="197" t="n">
        <f aca="false">Algae_yield_cost_factor/K11</f>
        <v>0.166520237003639</v>
      </c>
      <c r="BD11" s="197" t="n">
        <f aca="false">Algae_yield_cost_factor/L11</f>
        <v>0.166520237003639</v>
      </c>
      <c r="BE11" s="197" t="n">
        <f aca="false">Algae_yield_cost_factor/M11</f>
        <v>0.158980450328641</v>
      </c>
      <c r="BF11" s="197" t="n">
        <f aca="false">Algae_yield_cost_factor/N11</f>
        <v>0.154778984903337</v>
      </c>
      <c r="BG11" s="197" t="n">
        <f aca="false">Algae_yield_cost_factor/O11</f>
        <v>0.148784669631472</v>
      </c>
      <c r="BH11" s="197" t="n">
        <f aca="false">Algae_yield_cost_factor/P11</f>
        <v>0.140829366121591</v>
      </c>
      <c r="BI11" s="197" t="n">
        <f aca="false">Algae_yield_cost_factor/Q11</f>
        <v>0.131227678598322</v>
      </c>
      <c r="BJ11" s="197" t="n">
        <f aca="false">Algae_yield_cost_factor/R11</f>
        <v>0.120882265602309</v>
      </c>
      <c r="BK11" s="197" t="n">
        <f aca="false">Algae_yield_cost_factor/S11</f>
        <v>0.111013491335759</v>
      </c>
      <c r="BL11" s="197" t="n">
        <f aca="false">Algae_yield_cost_factor/T11</f>
        <v>0.102634459798932</v>
      </c>
      <c r="BM11" s="197" t="n">
        <f aca="false">Algae_yield_cost_factor/U11</f>
        <v>0.0961956106277043</v>
      </c>
      <c r="BN11" s="197" t="n">
        <f aca="false">Algae_yield_cost_factor/V11</f>
        <v>0.0916167338311028</v>
      </c>
      <c r="BO11" s="197" t="n">
        <f aca="false">Algae_yield_cost_factor/W11</f>
        <v>0.0885370564179478</v>
      </c>
      <c r="BP11" s="197" t="n">
        <f aca="false">Algae_yield_cost_factor/X11</f>
        <v>0.0865426005893254</v>
      </c>
      <c r="BQ11" s="197" t="n">
        <f aca="false">Algae_yield_cost_factor/Y11</f>
        <v>0.0852824150008736</v>
      </c>
      <c r="BR11" s="197" t="n">
        <f aca="false">Algae_yield_cost_factor/Z11</f>
        <v>0.0844985388360774</v>
      </c>
      <c r="BS11" s="197" t="n">
        <f aca="false">Algae_yield_cost_factor/AA11</f>
        <v>0.0840156803351274</v>
      </c>
      <c r="BT11" s="197" t="n">
        <f aca="false">Algae_yield_cost_factor/AB11</f>
        <v>0.0837200320966583</v>
      </c>
      <c r="BU11" s="197" t="n">
        <f aca="false">Algae_yield_cost_factor/AC11</f>
        <v>0.0835396778067312</v>
      </c>
    </row>
    <row r="12" customFormat="false" ht="15" hidden="false" customHeight="false" outlineLevel="0" collapsed="false">
      <c r="A12" s="18" t="s">
        <v>50</v>
      </c>
      <c r="B12" s="18" t="s">
        <v>22</v>
      </c>
      <c r="C12" s="18" t="s">
        <v>688</v>
      </c>
      <c r="D12" s="18" t="s">
        <v>688</v>
      </c>
      <c r="E12" s="28" t="n">
        <v>4.897716</v>
      </c>
      <c r="F12" s="185" t="n">
        <f aca="false">E12/$B$2*$F$3/1000</f>
        <v>0.0119994042</v>
      </c>
      <c r="G12" s="18" t="n">
        <f aca="false">LOOKUP(RIGHT(D12,5),Ref!$C$4:$C$21,Ref!$E$4:$E$21)*$G$3</f>
        <v>4.5</v>
      </c>
      <c r="H12" s="218" t="n">
        <f aca="false">$E12</f>
        <v>4.897716</v>
      </c>
      <c r="I12" s="177" t="n">
        <f aca="false">$E12</f>
        <v>4.897716</v>
      </c>
      <c r="J12" s="177" t="n">
        <f aca="false">$E12</f>
        <v>4.897716</v>
      </c>
      <c r="K12" s="177" t="n">
        <f aca="false">$E12</f>
        <v>4.897716</v>
      </c>
      <c r="L12" s="177" t="n">
        <f aca="false">$E12</f>
        <v>4.897716</v>
      </c>
      <c r="M12" s="177" t="n">
        <f aca="false">M$3*$E12</f>
        <v>5.12999445787574</v>
      </c>
      <c r="N12" s="177" t="n">
        <f aca="false">N$3*$E12</f>
        <v>5.26924782202092</v>
      </c>
      <c r="O12" s="177" t="n">
        <f aca="false">O$3*$E12</f>
        <v>5.48153805843448</v>
      </c>
      <c r="P12" s="177" t="n">
        <f aca="false">P$3*$E12</f>
        <v>5.79118440675477</v>
      </c>
      <c r="Q12" s="177" t="n">
        <f aca="false">Q$3*$E12</f>
        <v>6.21491470250657</v>
      </c>
      <c r="R12" s="177" t="n">
        <f aca="false">R$3*$E12</f>
        <v>6.74680297422338</v>
      </c>
      <c r="S12" s="177" t="n">
        <f aca="false">S$3*$E12</f>
        <v>7.346574</v>
      </c>
      <c r="T12" s="177" t="n">
        <f aca="false">T$3*$E12</f>
        <v>7.94634502577662</v>
      </c>
      <c r="U12" s="177" t="n">
        <f aca="false">U$3*$E12</f>
        <v>8.47823329749343</v>
      </c>
      <c r="V12" s="177" t="n">
        <f aca="false">V$3*$E12</f>
        <v>8.90196359324523</v>
      </c>
      <c r="W12" s="177" t="n">
        <f aca="false">W$3*$E12</f>
        <v>9.21160994156552</v>
      </c>
      <c r="X12" s="177" t="n">
        <f aca="false">X$3*$E12</f>
        <v>9.42390017797908</v>
      </c>
      <c r="Y12" s="177" t="n">
        <f aca="false">Y$3*$E12</f>
        <v>9.56315354212426</v>
      </c>
      <c r="Z12" s="177" t="n">
        <f aca="false">Z$3*$E12</f>
        <v>9.65186901845339</v>
      </c>
      <c r="AA12" s="177" t="n">
        <f aca="false">AA$3*$E12</f>
        <v>9.70734065168931</v>
      </c>
      <c r="AB12" s="177" t="n">
        <f aca="false">AB$3*$E12</f>
        <v>9.74162107528706</v>
      </c>
      <c r="AC12" s="177" t="n">
        <f aca="false">AC$3*$E12</f>
        <v>9.76265231694252</v>
      </c>
      <c r="AD12" s="219" t="n">
        <f aca="false">Algae_electricity_factor/H12</f>
        <v>0.00280612373268055</v>
      </c>
      <c r="AE12" s="220" t="n">
        <f aca="false">Algae_electricity_factor/I12</f>
        <v>0.00280612373268055</v>
      </c>
      <c r="AF12" s="220" t="n">
        <f aca="false">Algae_electricity_factor/J12</f>
        <v>0.00280612373268055</v>
      </c>
      <c r="AG12" s="220" t="n">
        <f aca="false">Algae_electricity_factor/K12</f>
        <v>0.00280612373268055</v>
      </c>
      <c r="AH12" s="220" t="n">
        <f aca="false">Algae_electricity_factor/L12</f>
        <v>0.00280612373268055</v>
      </c>
      <c r="AI12" s="220" t="n">
        <f aca="false">Algae_electricity_factor/M12</f>
        <v>0.00267906665716366</v>
      </c>
      <c r="AJ12" s="220" t="n">
        <f aca="false">Algae_electricity_factor/N12</f>
        <v>0.00260826546174064</v>
      </c>
      <c r="AK12" s="220" t="n">
        <f aca="false">Algae_electricity_factor/O12</f>
        <v>0.00250725197143928</v>
      </c>
      <c r="AL12" s="220" t="n">
        <f aca="false">Algae_electricity_factor/P12</f>
        <v>0.00237319279411978</v>
      </c>
      <c r="AM12" s="220" t="n">
        <f aca="false">Algae_electricity_factor/Q12</f>
        <v>0.00221138949790997</v>
      </c>
      <c r="AN12" s="220" t="n">
        <f aca="false">Algae_electricity_factor/R12</f>
        <v>0.00203705327634994</v>
      </c>
      <c r="AO12" s="220" t="n">
        <f aca="false">Algae_electricity_factor/S12</f>
        <v>0.00187074915512037</v>
      </c>
      <c r="AP12" s="220" t="n">
        <f aca="false">Algae_electricity_factor/T12</f>
        <v>0.00172954950470277</v>
      </c>
      <c r="AQ12" s="220" t="n">
        <f aca="false">Algae_electricity_factor/U12</f>
        <v>0.00162104493014984</v>
      </c>
      <c r="AR12" s="220" t="n">
        <f aca="false">Algae_electricity_factor/V12</f>
        <v>0.00154388376896507</v>
      </c>
      <c r="AS12" s="220" t="n">
        <f aca="false">Algae_electricity_factor/W12</f>
        <v>0.00149198643784449</v>
      </c>
      <c r="AT12" s="220" t="n">
        <f aca="false">Algae_electricity_factor/X12</f>
        <v>0.0014583767701237</v>
      </c>
      <c r="AU12" s="220" t="n">
        <f aca="false">Algae_electricity_factor/Y12</f>
        <v>0.00143714069244949</v>
      </c>
      <c r="AV12" s="220" t="n">
        <f aca="false">Algae_electricity_factor/Z12</f>
        <v>0.00142393116579316</v>
      </c>
      <c r="AW12" s="220" t="n">
        <f aca="false">Algae_electricity_factor/AA12</f>
        <v>0.00141579425268624</v>
      </c>
      <c r="AX12" s="220" t="n">
        <f aca="false">Algae_electricity_factor/AB12</f>
        <v>0.00141081212226521</v>
      </c>
      <c r="AY12" s="220" t="n">
        <f aca="false">Algae_electricity_factor/AC12</f>
        <v>0.0014077728733285</v>
      </c>
      <c r="AZ12" s="221" t="n">
        <f aca="false">Algae_yield_cost_factor/H12</f>
        <v>0.155346414387077</v>
      </c>
      <c r="BA12" s="197" t="n">
        <f aca="false">Algae_yield_cost_factor/I12</f>
        <v>0.155346414387077</v>
      </c>
      <c r="BB12" s="197" t="n">
        <f aca="false">Algae_yield_cost_factor/J12</f>
        <v>0.155346414387077</v>
      </c>
      <c r="BC12" s="197" t="n">
        <f aca="false">Algae_yield_cost_factor/K12</f>
        <v>0.155346414387077</v>
      </c>
      <c r="BD12" s="197" t="n">
        <f aca="false">Algae_yield_cost_factor/L12</f>
        <v>0.155346414387077</v>
      </c>
      <c r="BE12" s="197" t="n">
        <f aca="false">Algae_yield_cost_factor/M12</f>
        <v>0.148312561647732</v>
      </c>
      <c r="BF12" s="197" t="n">
        <f aca="false">Algae_yield_cost_factor/N12</f>
        <v>0.144393022492992</v>
      </c>
      <c r="BG12" s="197" t="n">
        <f aca="false">Algae_yield_cost_factor/O12</f>
        <v>0.138800937104779</v>
      </c>
      <c r="BH12" s="197" t="n">
        <f aca="false">Algae_yield_cost_factor/P12</f>
        <v>0.131379449495474</v>
      </c>
      <c r="BI12" s="197" t="n">
        <f aca="false">Algae_yield_cost_factor/Q12</f>
        <v>0.122422053351651</v>
      </c>
      <c r="BJ12" s="197" t="n">
        <f aca="false">Algae_yield_cost_factor/R12</f>
        <v>0.112770837119902</v>
      </c>
      <c r="BK12" s="197" t="n">
        <f aca="false">Algae_yield_cost_factor/S12</f>
        <v>0.103564276258051</v>
      </c>
      <c r="BL12" s="197" t="n">
        <f aca="false">Algae_yield_cost_factor/T12</f>
        <v>0.0957474935732303</v>
      </c>
      <c r="BM12" s="197" t="n">
        <f aca="false">Algae_yield_cost_factor/U12</f>
        <v>0.0897407033504444</v>
      </c>
      <c r="BN12" s="197" t="n">
        <f aca="false">Algae_yield_cost_factor/V12</f>
        <v>0.0854690778407072</v>
      </c>
      <c r="BO12" s="197" t="n">
        <f aca="false">Algae_yield_cost_factor/W12</f>
        <v>0.0825960526023871</v>
      </c>
      <c r="BP12" s="197" t="n">
        <f aca="false">Algae_yield_cost_factor/X12</f>
        <v>0.0807354285292714</v>
      </c>
      <c r="BQ12" s="197" t="n">
        <f aca="false">Algae_yield_cost_factor/Y12</f>
        <v>0.0795598037754826</v>
      </c>
      <c r="BR12" s="197" t="n">
        <f aca="false">Algae_yield_cost_factor/Z12</f>
        <v>0.0788285271828248</v>
      </c>
      <c r="BS12" s="197" t="n">
        <f aca="false">Algae_yield_cost_factor/AA12</f>
        <v>0.0783780693998632</v>
      </c>
      <c r="BT12" s="197" t="n">
        <f aca="false">Algae_yield_cost_factor/AB12</f>
        <v>0.0781022597169535</v>
      </c>
      <c r="BU12" s="197" t="n">
        <f aca="false">Algae_yield_cost_factor/AC12</f>
        <v>0.0779340075407397</v>
      </c>
    </row>
    <row r="13" customFormat="false" ht="15" hidden="false" customHeight="false" outlineLevel="0" collapsed="false">
      <c r="A13" s="18" t="s">
        <v>689</v>
      </c>
      <c r="B13" s="18" t="s">
        <v>22</v>
      </c>
      <c r="C13" s="18" t="s">
        <v>690</v>
      </c>
      <c r="D13" s="18" t="s">
        <v>690</v>
      </c>
      <c r="E13" s="28" t="n">
        <v>7.05472</v>
      </c>
      <c r="F13" s="185" t="n">
        <f aca="false">E13/$B$2*$F$3/1000</f>
        <v>0.017284064</v>
      </c>
      <c r="G13" s="18" t="n">
        <f aca="false">LOOKUP(RIGHT(D13,5),Ref!$C$4:$C$21,Ref!$E$4:$E$21)*$G$3</f>
        <v>1.5</v>
      </c>
      <c r="H13" s="218" t="n">
        <f aca="false">$E13</f>
        <v>7.05472</v>
      </c>
      <c r="I13" s="177" t="n">
        <f aca="false">$E13</f>
        <v>7.05472</v>
      </c>
      <c r="J13" s="177" t="n">
        <f aca="false">$E13</f>
        <v>7.05472</v>
      </c>
      <c r="K13" s="177" t="n">
        <f aca="false">$E13</f>
        <v>7.05472</v>
      </c>
      <c r="L13" s="177" t="n">
        <f aca="false">$E13</f>
        <v>7.05472</v>
      </c>
      <c r="M13" s="177" t="n">
        <f aca="false">M$3*$E13</f>
        <v>7.38929625602324</v>
      </c>
      <c r="N13" s="177" t="n">
        <f aca="false">N$3*$E13</f>
        <v>7.58987821975947</v>
      </c>
      <c r="O13" s="177" t="n">
        <f aca="false">O$3*$E13</f>
        <v>7.89566323804787</v>
      </c>
      <c r="P13" s="177" t="n">
        <f aca="false">P$3*$E13</f>
        <v>8.34168099130718</v>
      </c>
      <c r="Q13" s="177" t="n">
        <f aca="false">Q$3*$E13</f>
        <v>8.95202642416733</v>
      </c>
      <c r="R13" s="177" t="n">
        <f aca="false">R$3*$E13</f>
        <v>9.71816370698365</v>
      </c>
      <c r="S13" s="177" t="n">
        <f aca="false">S$3*$E13</f>
        <v>10.58208</v>
      </c>
      <c r="T13" s="177" t="n">
        <f aca="false">T$3*$E13</f>
        <v>11.4459962930163</v>
      </c>
      <c r="U13" s="177" t="n">
        <f aca="false">U$3*$E13</f>
        <v>12.2121335758327</v>
      </c>
      <c r="V13" s="177" t="n">
        <f aca="false">V$3*$E13</f>
        <v>12.8224790086928</v>
      </c>
      <c r="W13" s="177" t="n">
        <f aca="false">W$3*$E13</f>
        <v>13.2684967619521</v>
      </c>
      <c r="X13" s="177" t="n">
        <f aca="false">X$3*$E13</f>
        <v>13.5742817802405</v>
      </c>
      <c r="Y13" s="177" t="n">
        <f aca="false">Y$3*$E13</f>
        <v>13.7748637439768</v>
      </c>
      <c r="Z13" s="177" t="n">
        <f aca="false">Z$3*$E13</f>
        <v>13.9026504194738</v>
      </c>
      <c r="AA13" s="177" t="n">
        <f aca="false">AA$3*$E13</f>
        <v>13.9825523248562</v>
      </c>
      <c r="AB13" s="177" t="n">
        <f aca="false">AB$3*$E13</f>
        <v>14.0319301960851</v>
      </c>
      <c r="AC13" s="177" t="n">
        <f aca="false">AC$3*$E13</f>
        <v>14.0622238107274</v>
      </c>
      <c r="AD13" s="219" t="n">
        <f aca="false">Algae_electricity_factor/H13</f>
        <v>0.00194814210961303</v>
      </c>
      <c r="AE13" s="220" t="n">
        <f aca="false">Algae_electricity_factor/I13</f>
        <v>0.00194814210961303</v>
      </c>
      <c r="AF13" s="220" t="n">
        <f aca="false">Algae_electricity_factor/J13</f>
        <v>0.00194814210961303</v>
      </c>
      <c r="AG13" s="220" t="n">
        <f aca="false">Algae_electricity_factor/K13</f>
        <v>0.00194814210961303</v>
      </c>
      <c r="AH13" s="220" t="n">
        <f aca="false">Algae_electricity_factor/L13</f>
        <v>0.00194814210961303</v>
      </c>
      <c r="AI13" s="220" t="n">
        <f aca="false">Algae_electricity_factor/M13</f>
        <v>0.00185993315565422</v>
      </c>
      <c r="AJ13" s="220" t="n">
        <f aca="false">Algae_electricity_factor/N13</f>
        <v>0.00181077966017284</v>
      </c>
      <c r="AK13" s="220" t="n">
        <f aca="false">Algae_electricity_factor/O13</f>
        <v>0.00174065137901287</v>
      </c>
      <c r="AL13" s="220" t="n">
        <f aca="false">Algae_electricity_factor/P13</f>
        <v>0.00164758123906337</v>
      </c>
      <c r="AM13" s="220" t="n">
        <f aca="false">Algae_electricity_factor/Q13</f>
        <v>0.00153524983644221</v>
      </c>
      <c r="AN13" s="220" t="n">
        <f aca="false">Algae_electricity_factor/R13</f>
        <v>0.00141421749189642</v>
      </c>
      <c r="AO13" s="220" t="n">
        <f aca="false">Algae_electricity_factor/S13</f>
        <v>0.00129876140640869</v>
      </c>
      <c r="AP13" s="220" t="n">
        <f aca="false">Algae_electricity_factor/T13</f>
        <v>0.00120073401665478</v>
      </c>
      <c r="AQ13" s="220" t="n">
        <f aca="false">Algae_electricity_factor/U13</f>
        <v>0.00112540507505808</v>
      </c>
      <c r="AR13" s="220" t="n">
        <f aca="false">Algae_electricity_factor/V13</f>
        <v>0.00107183619440609</v>
      </c>
      <c r="AS13" s="220" t="n">
        <f aca="false">Algae_electricity_factor/W13</f>
        <v>0.0010358066441211</v>
      </c>
      <c r="AT13" s="220" t="n">
        <f aca="false">Algae_electricity_factor/X13</f>
        <v>0.00101247324359622</v>
      </c>
      <c r="AU13" s="220" t="n">
        <f aca="false">Algae_electricity_factor/Y13</f>
        <v>0.000997730166989044</v>
      </c>
      <c r="AV13" s="220" t="n">
        <f aca="false">Algae_electricity_factor/Z13</f>
        <v>0.000988559496848044</v>
      </c>
      <c r="AW13" s="220" t="n">
        <f aca="false">Algae_electricity_factor/AA13</f>
        <v>0.000982910471866986</v>
      </c>
      <c r="AX13" s="220" t="n">
        <f aca="false">Algae_electricity_factor/AB13</f>
        <v>0.000979451644319305</v>
      </c>
      <c r="AY13" s="220" t="n">
        <f aca="false">Algae_electricity_factor/AC13</f>
        <v>0.000977341655808728</v>
      </c>
      <c r="AZ13" s="221" t="n">
        <f aca="false">Algae_yield_cost_factor/H13</f>
        <v>0.107848733796128</v>
      </c>
      <c r="BA13" s="197" t="n">
        <f aca="false">Algae_yield_cost_factor/I13</f>
        <v>0.107848733796128</v>
      </c>
      <c r="BB13" s="197" t="n">
        <f aca="false">Algae_yield_cost_factor/J13</f>
        <v>0.107848733796128</v>
      </c>
      <c r="BC13" s="197" t="n">
        <f aca="false">Algae_yield_cost_factor/K13</f>
        <v>0.107848733796128</v>
      </c>
      <c r="BD13" s="197" t="n">
        <f aca="false">Algae_yield_cost_factor/L13</f>
        <v>0.107848733796128</v>
      </c>
      <c r="BE13" s="197" t="n">
        <f aca="false">Algae_yield_cost_factor/M13</f>
        <v>0.10296550482274</v>
      </c>
      <c r="BF13" s="197" t="n">
        <f aca="false">Algae_yield_cost_factor/N13</f>
        <v>0.100244377743169</v>
      </c>
      <c r="BG13" s="197" t="n">
        <f aca="false">Algae_yield_cost_factor/O13</f>
        <v>0.096362090979241</v>
      </c>
      <c r="BH13" s="197" t="n">
        <f aca="false">Algae_yield_cost_factor/P13</f>
        <v>0.0912097477809434</v>
      </c>
      <c r="BI13" s="197" t="n">
        <f aca="false">Algae_yield_cost_factor/Q13</f>
        <v>0.084991105168346</v>
      </c>
      <c r="BJ13" s="197" t="n">
        <f aca="false">Algae_yield_cost_factor/R13</f>
        <v>0.0782907802571243</v>
      </c>
      <c r="BK13" s="197" t="n">
        <f aca="false">Algae_yield_cost_factor/S13</f>
        <v>0.0718991558640851</v>
      </c>
      <c r="BL13" s="197" t="n">
        <f aca="false">Algae_yield_cost_factor/T13</f>
        <v>0.0664723803685344</v>
      </c>
      <c r="BM13" s="197" t="n">
        <f aca="false">Algae_yield_cost_factor/U13</f>
        <v>0.0623021861463991</v>
      </c>
      <c r="BN13" s="197" t="n">
        <f aca="false">Algae_yield_cost_factor/V13</f>
        <v>0.0593366242807194</v>
      </c>
      <c r="BO13" s="197" t="n">
        <f aca="false">Algae_yield_cost_factor/W13</f>
        <v>0.0573420360223443</v>
      </c>
      <c r="BP13" s="197" t="n">
        <f aca="false">Algae_yield_cost_factor/X13</f>
        <v>0.0560503039205906</v>
      </c>
      <c r="BQ13" s="197" t="n">
        <f aca="false">Algae_yield_cost_factor/Y13</f>
        <v>0.05523413032807</v>
      </c>
      <c r="BR13" s="197" t="n">
        <f aca="false">Algae_yield_cost_factor/Z13</f>
        <v>0.0547264439750629</v>
      </c>
      <c r="BS13" s="197" t="n">
        <f aca="false">Algae_yield_cost_factor/AA13</f>
        <v>0.0544137151508239</v>
      </c>
      <c r="BT13" s="197" t="n">
        <f aca="false">Algae_yield_cost_factor/AB13</f>
        <v>0.0542222351917409</v>
      </c>
      <c r="BU13" s="197" t="n">
        <f aca="false">Algae_yield_cost_factor/AC13</f>
        <v>0.0541054266755309</v>
      </c>
    </row>
    <row r="14" customFormat="false" ht="15" hidden="false" customHeight="false" outlineLevel="0" collapsed="false">
      <c r="A14" s="18" t="s">
        <v>689</v>
      </c>
      <c r="B14" s="18" t="s">
        <v>22</v>
      </c>
      <c r="C14" s="18" t="s">
        <v>691</v>
      </c>
      <c r="D14" s="18" t="s">
        <v>691</v>
      </c>
      <c r="E14" s="28" t="n">
        <v>7.42118</v>
      </c>
      <c r="F14" s="185" t="n">
        <f aca="false">E14/$B$2*$F$3/1000</f>
        <v>0.018181891</v>
      </c>
      <c r="G14" s="18" t="n">
        <f aca="false">LOOKUP(RIGHT(D14,5),Ref!$C$4:$C$21,Ref!$E$4:$E$21)*$G$3</f>
        <v>2</v>
      </c>
      <c r="H14" s="218" t="n">
        <f aca="false">$E14</f>
        <v>7.42118</v>
      </c>
      <c r="I14" s="177" t="n">
        <f aca="false">$E14</f>
        <v>7.42118</v>
      </c>
      <c r="J14" s="177" t="n">
        <f aca="false">$E14</f>
        <v>7.42118</v>
      </c>
      <c r="K14" s="177" t="n">
        <f aca="false">$E14</f>
        <v>7.42118</v>
      </c>
      <c r="L14" s="177" t="n">
        <f aca="false">$E14</f>
        <v>7.42118</v>
      </c>
      <c r="M14" s="177" t="n">
        <f aca="false">M$3*$E14</f>
        <v>7.77313594150789</v>
      </c>
      <c r="N14" s="177" t="n">
        <f aca="false">N$3*$E14</f>
        <v>7.98413720841005</v>
      </c>
      <c r="O14" s="177" t="n">
        <f aca="false">O$3*$E14</f>
        <v>8.3058063408521</v>
      </c>
      <c r="P14" s="177" t="n">
        <f aca="false">P$3*$E14</f>
        <v>8.77499264876126</v>
      </c>
      <c r="Q14" s="177" t="n">
        <f aca="false">Q$3*$E14</f>
        <v>9.41704269744258</v>
      </c>
      <c r="R14" s="177" t="n">
        <f aca="false">R$3*$E14</f>
        <v>10.2229772604714</v>
      </c>
      <c r="S14" s="177" t="n">
        <f aca="false">S$3*$E14</f>
        <v>11.13177</v>
      </c>
      <c r="T14" s="177" t="n">
        <f aca="false">T$3*$E14</f>
        <v>12.0405627395286</v>
      </c>
      <c r="U14" s="177" t="n">
        <f aca="false">U$3*$E14</f>
        <v>12.8464973025574</v>
      </c>
      <c r="V14" s="177" t="n">
        <f aca="false">V$3*$E14</f>
        <v>13.4885473512387</v>
      </c>
      <c r="W14" s="177" t="n">
        <f aca="false">W$3*$E14</f>
        <v>13.9577336591479</v>
      </c>
      <c r="X14" s="177" t="n">
        <f aca="false">X$3*$E14</f>
        <v>14.2794027915899</v>
      </c>
      <c r="Y14" s="177" t="n">
        <f aca="false">Y$3*$E14</f>
        <v>14.4904040584921</v>
      </c>
      <c r="Z14" s="177" t="n">
        <f aca="false">Z$3*$E14</f>
        <v>14.6248286593927</v>
      </c>
      <c r="AA14" s="177" t="n">
        <f aca="false">AA$3*$E14</f>
        <v>14.7088810983535</v>
      </c>
      <c r="AB14" s="177" t="n">
        <f aca="false">AB$3*$E14</f>
        <v>14.7608239210887</v>
      </c>
      <c r="AC14" s="177" t="n">
        <f aca="false">AC$3*$E14</f>
        <v>14.7926911485777</v>
      </c>
      <c r="AD14" s="219" t="n">
        <f aca="false">Algae_electricity_factor/H14</f>
        <v>0.00185194229267169</v>
      </c>
      <c r="AE14" s="220" t="n">
        <f aca="false">Algae_electricity_factor/I14</f>
        <v>0.00185194229267169</v>
      </c>
      <c r="AF14" s="220" t="n">
        <f aca="false">Algae_electricity_factor/J14</f>
        <v>0.00185194229267169</v>
      </c>
      <c r="AG14" s="220" t="n">
        <f aca="false">Algae_electricity_factor/K14</f>
        <v>0.00185194229267169</v>
      </c>
      <c r="AH14" s="220" t="n">
        <f aca="false">Algae_electricity_factor/L14</f>
        <v>0.00185194229267169</v>
      </c>
      <c r="AI14" s="220" t="n">
        <f aca="false">Algae_electricity_factor/M14</f>
        <v>0.00176808912219579</v>
      </c>
      <c r="AJ14" s="220" t="n">
        <f aca="false">Algae_electricity_factor/N14</f>
        <v>0.00172136284043973</v>
      </c>
      <c r="AK14" s="220" t="n">
        <f aca="false">Algae_electricity_factor/O14</f>
        <v>0.00165469751394653</v>
      </c>
      <c r="AL14" s="220" t="n">
        <f aca="false">Algae_electricity_factor/P14</f>
        <v>0.00156622320424045</v>
      </c>
      <c r="AM14" s="220" t="n">
        <f aca="false">Algae_electricity_factor/Q14</f>
        <v>0.00145943875854589</v>
      </c>
      <c r="AN14" s="220" t="n">
        <f aca="false">Algae_electricity_factor/R14</f>
        <v>0.00134438302593813</v>
      </c>
      <c r="AO14" s="220" t="n">
        <f aca="false">Algae_electricity_factor/S14</f>
        <v>0.00123462819511446</v>
      </c>
      <c r="AP14" s="220" t="n">
        <f aca="false">Algae_electricity_factor/T14</f>
        <v>0.0011414414260232</v>
      </c>
      <c r="AQ14" s="220" t="n">
        <f aca="false">Algae_electricity_factor/U14</f>
        <v>0.00106983224919942</v>
      </c>
      <c r="AR14" s="220" t="n">
        <f aca="false">Algae_electricity_factor/V14</f>
        <v>0.00101890861526072</v>
      </c>
      <c r="AS14" s="220" t="n">
        <f aca="false">Algae_electricity_factor/W14</f>
        <v>0.000984658214517634</v>
      </c>
      <c r="AT14" s="220" t="n">
        <f aca="false">Algae_electricity_factor/X14</f>
        <v>0.000962477024012779</v>
      </c>
      <c r="AU14" s="220" t="n">
        <f aca="false">Algae_electricity_factor/Y14</f>
        <v>0.000948461964763144</v>
      </c>
      <c r="AV14" s="220" t="n">
        <f aca="false">Algae_electricity_factor/Z14</f>
        <v>0.000939744144947816</v>
      </c>
      <c r="AW14" s="220" t="n">
        <f aca="false">Algae_electricity_factor/AA14</f>
        <v>0.000934374070442903</v>
      </c>
      <c r="AX14" s="220" t="n">
        <f aca="false">Algae_electricity_factor/AB14</f>
        <v>0.000931086040793012</v>
      </c>
      <c r="AY14" s="220" t="n">
        <f aca="false">Algae_electricity_factor/AC14</f>
        <v>0.000929080244121143</v>
      </c>
      <c r="AZ14" s="221" t="n">
        <f aca="false">Algae_yield_cost_factor/H14</f>
        <v>0.102523132343673</v>
      </c>
      <c r="BA14" s="197" t="n">
        <f aca="false">Algae_yield_cost_factor/I14</f>
        <v>0.102523132343673</v>
      </c>
      <c r="BB14" s="197" t="n">
        <f aca="false">Algae_yield_cost_factor/J14</f>
        <v>0.102523132343673</v>
      </c>
      <c r="BC14" s="197" t="n">
        <f aca="false">Algae_yield_cost_factor/K14</f>
        <v>0.102523132343673</v>
      </c>
      <c r="BD14" s="197" t="n">
        <f aca="false">Algae_yield_cost_factor/L14</f>
        <v>0.102523132343673</v>
      </c>
      <c r="BE14" s="197" t="n">
        <f aca="false">Algae_yield_cost_factor/M14</f>
        <v>0.0978810386196106</v>
      </c>
      <c r="BF14" s="197" t="n">
        <f aca="false">Algae_yield_cost_factor/N14</f>
        <v>0.0952942815768231</v>
      </c>
      <c r="BG14" s="197" t="n">
        <f aca="false">Algae_yield_cost_factor/O14</f>
        <v>0.0916037032484148</v>
      </c>
      <c r="BH14" s="197" t="n">
        <f aca="false">Algae_yield_cost_factor/P14</f>
        <v>0.0867057842371668</v>
      </c>
      <c r="BI14" s="197" t="n">
        <f aca="false">Algae_yield_cost_factor/Q14</f>
        <v>0.0807942199829722</v>
      </c>
      <c r="BJ14" s="197" t="n">
        <f aca="false">Algae_yield_cost_factor/R14</f>
        <v>0.0744247590404141</v>
      </c>
      <c r="BK14" s="197" t="n">
        <f aca="false">Algae_yield_cost_factor/S14</f>
        <v>0.0683487548957819</v>
      </c>
      <c r="BL14" s="197" t="n">
        <f aca="false">Algae_yield_cost_factor/T14</f>
        <v>0.0631899551329448</v>
      </c>
      <c r="BM14" s="197" t="n">
        <f aca="false">Algae_yield_cost_factor/U14</f>
        <v>0.0592256862993116</v>
      </c>
      <c r="BN14" s="197" t="n">
        <f aca="false">Algae_yield_cost_factor/V14</f>
        <v>0.0564065647303632</v>
      </c>
      <c r="BO14" s="197" t="n">
        <f aca="false">Algae_yield_cost_factor/W14</f>
        <v>0.0545104698130962</v>
      </c>
      <c r="BP14" s="197" t="n">
        <f aca="false">Algae_yield_cost_factor/X14</f>
        <v>0.0532825238135538</v>
      </c>
      <c r="BQ14" s="197" t="n">
        <f aca="false">Algae_yield_cost_factor/Y14</f>
        <v>0.0525066531074629</v>
      </c>
      <c r="BR14" s="197" t="n">
        <f aca="false">Algae_yield_cost_factor/Z14</f>
        <v>0.0520240364523911</v>
      </c>
      <c r="BS14" s="197" t="n">
        <f aca="false">Algae_yield_cost_factor/AA14</f>
        <v>0.0517267502673187</v>
      </c>
      <c r="BT14" s="197" t="n">
        <f aca="false">Algae_yield_cost_factor/AB14</f>
        <v>0.0515447256436144</v>
      </c>
      <c r="BU14" s="197" t="n">
        <f aca="false">Algae_yield_cost_factor/AC14</f>
        <v>0.051433685165486</v>
      </c>
    </row>
    <row r="15" customFormat="false" ht="15" hidden="false" customHeight="false" outlineLevel="0" collapsed="false">
      <c r="A15" s="18" t="s">
        <v>689</v>
      </c>
      <c r="B15" s="18" t="s">
        <v>22</v>
      </c>
      <c r="C15" s="18" t="s">
        <v>692</v>
      </c>
      <c r="D15" s="18" t="s">
        <v>692</v>
      </c>
      <c r="E15" s="28" t="n">
        <v>7.201815</v>
      </c>
      <c r="F15" s="185" t="n">
        <f aca="false">E15/$B$2*$F$3/1000</f>
        <v>0.01764444675</v>
      </c>
      <c r="G15" s="18" t="n">
        <f aca="false">LOOKUP(RIGHT(D15,5),Ref!$C$4:$C$21,Ref!$E$4:$E$21)*$G$3</f>
        <v>2.5</v>
      </c>
      <c r="H15" s="218" t="n">
        <f aca="false">$E15</f>
        <v>7.201815</v>
      </c>
      <c r="I15" s="177" t="n">
        <f aca="false">$E15</f>
        <v>7.201815</v>
      </c>
      <c r="J15" s="177" t="n">
        <f aca="false">$E15</f>
        <v>7.201815</v>
      </c>
      <c r="K15" s="177" t="n">
        <f aca="false">$E15</f>
        <v>7.201815</v>
      </c>
      <c r="L15" s="177" t="n">
        <f aca="false">$E15</f>
        <v>7.201815</v>
      </c>
      <c r="M15" s="177" t="n">
        <f aca="false">M$3*$E15</f>
        <v>7.5433673648383</v>
      </c>
      <c r="N15" s="177" t="n">
        <f aca="false">N$3*$E15</f>
        <v>7.74813157874969</v>
      </c>
      <c r="O15" s="177" t="n">
        <f aca="false">O$3*$E15</f>
        <v>8.06029239186272</v>
      </c>
      <c r="P15" s="177" t="n">
        <f aca="false">P$3*$E15</f>
        <v>8.51560987373147</v>
      </c>
      <c r="Q15" s="177" t="n">
        <f aca="false">Q$3*$E15</f>
        <v>9.13868136254375</v>
      </c>
      <c r="R15" s="177" t="n">
        <f aca="false">R$3*$E15</f>
        <v>9.92079305166052</v>
      </c>
      <c r="S15" s="177" t="n">
        <f aca="false">S$3*$E15</f>
        <v>10.8027225</v>
      </c>
      <c r="T15" s="177" t="n">
        <f aca="false">T$3*$E15</f>
        <v>11.6846519483395</v>
      </c>
      <c r="U15" s="177" t="n">
        <f aca="false">U$3*$E15</f>
        <v>12.4667636374562</v>
      </c>
      <c r="V15" s="177" t="n">
        <f aca="false">V$3*$E15</f>
        <v>13.0898351262685</v>
      </c>
      <c r="W15" s="177" t="n">
        <f aca="false">W$3*$E15</f>
        <v>13.5451526081373</v>
      </c>
      <c r="X15" s="177" t="n">
        <f aca="false">X$3*$E15</f>
        <v>13.8573134212503</v>
      </c>
      <c r="Y15" s="177" t="n">
        <f aca="false">Y$3*$E15</f>
        <v>14.0620776351617</v>
      </c>
      <c r="Z15" s="177" t="n">
        <f aca="false">Z$3*$E15</f>
        <v>14.1925287368914</v>
      </c>
      <c r="AA15" s="177" t="n">
        <f aca="false">AA$3*$E15</f>
        <v>14.2740966433019</v>
      </c>
      <c r="AB15" s="177" t="n">
        <f aca="false">AB$3*$E15</f>
        <v>14.3245040717589</v>
      </c>
      <c r="AC15" s="177" t="n">
        <f aca="false">AC$3*$E15</f>
        <v>14.3554293258207</v>
      </c>
      <c r="AD15" s="219" t="n">
        <f aca="false">Algae_electricity_factor/H15</f>
        <v>0.00190835186734584</v>
      </c>
      <c r="AE15" s="220" t="n">
        <f aca="false">Algae_electricity_factor/I15</f>
        <v>0.00190835186734584</v>
      </c>
      <c r="AF15" s="220" t="n">
        <f aca="false">Algae_electricity_factor/J15</f>
        <v>0.00190835186734584</v>
      </c>
      <c r="AG15" s="220" t="n">
        <f aca="false">Algae_electricity_factor/K15</f>
        <v>0.00190835186734584</v>
      </c>
      <c r="AH15" s="220" t="n">
        <f aca="false">Algae_electricity_factor/L15</f>
        <v>0.00190835186734584</v>
      </c>
      <c r="AI15" s="220" t="n">
        <f aca="false">Algae_electricity_factor/M15</f>
        <v>0.00182194455590111</v>
      </c>
      <c r="AJ15" s="220" t="n">
        <f aca="false">Algae_electricity_factor/N15</f>
        <v>0.00177379500642748</v>
      </c>
      <c r="AK15" s="220" t="n">
        <f aca="false">Algae_electricity_factor/O15</f>
        <v>0.00170509907524002</v>
      </c>
      <c r="AL15" s="220" t="n">
        <f aca="false">Algae_electricity_factor/P15</f>
        <v>0.0016139298661303</v>
      </c>
      <c r="AM15" s="220" t="n">
        <f aca="false">Algae_electricity_factor/Q15</f>
        <v>0.00150389280009909</v>
      </c>
      <c r="AN15" s="220" t="n">
        <f aca="false">Algae_electricity_factor/R15</f>
        <v>0.00138533250637951</v>
      </c>
      <c r="AO15" s="220" t="n">
        <f aca="false">Algae_electricity_factor/S15</f>
        <v>0.00127223457823056</v>
      </c>
      <c r="AP15" s="220" t="n">
        <f aca="false">Algae_electricity_factor/T15</f>
        <v>0.00117620936971789</v>
      </c>
      <c r="AQ15" s="220" t="n">
        <f aca="false">Algae_electricity_factor/U15</f>
        <v>0.0011024190000873</v>
      </c>
      <c r="AR15" s="220" t="n">
        <f aca="false">Algae_electricity_factor/V15</f>
        <v>0.00104994424841523</v>
      </c>
      <c r="AS15" s="220" t="n">
        <f aca="false">Algae_electricity_factor/W15</f>
        <v>0.00101465059133204</v>
      </c>
      <c r="AT15" s="220" t="n">
        <f aca="false">Algae_electricity_factor/X15</f>
        <v>0.000991793768801775</v>
      </c>
      <c r="AU15" s="220" t="n">
        <f aca="false">Algae_electricity_factor/Y15</f>
        <v>0.000977351815293915</v>
      </c>
      <c r="AV15" s="220" t="n">
        <f aca="false">Algae_electricity_factor/Z15</f>
        <v>0.000968368453452891</v>
      </c>
      <c r="AW15" s="220" t="n">
        <f aca="false">Algae_electricity_factor/AA15</f>
        <v>0.000962834808182307</v>
      </c>
      <c r="AX15" s="220" t="n">
        <f aca="false">Algae_electricity_factor/AB15</f>
        <v>0.000959446626192465</v>
      </c>
      <c r="AY15" s="220" t="n">
        <f aca="false">Algae_electricity_factor/AC15</f>
        <v>0.000957379733590344</v>
      </c>
      <c r="AZ15" s="221" t="n">
        <f aca="false">Algae_yield_cost_factor/H15</f>
        <v>0.105645954427629</v>
      </c>
      <c r="BA15" s="197" t="n">
        <f aca="false">Algae_yield_cost_factor/I15</f>
        <v>0.105645954427629</v>
      </c>
      <c r="BB15" s="197" t="n">
        <f aca="false">Algae_yield_cost_factor/J15</f>
        <v>0.105645954427629</v>
      </c>
      <c r="BC15" s="197" t="n">
        <f aca="false">Algae_yield_cost_factor/K15</f>
        <v>0.105645954427629</v>
      </c>
      <c r="BD15" s="197" t="n">
        <f aca="false">Algae_yield_cost_factor/L15</f>
        <v>0.105645954427629</v>
      </c>
      <c r="BE15" s="197" t="n">
        <f aca="false">Algae_yield_cost_factor/M15</f>
        <v>0.100862464001517</v>
      </c>
      <c r="BF15" s="197" t="n">
        <f aca="false">Algae_yield_cost_factor/N15</f>
        <v>0.098196915159899</v>
      </c>
      <c r="BG15" s="197" t="n">
        <f aca="false">Algae_yield_cost_factor/O15</f>
        <v>0.094393922986507</v>
      </c>
      <c r="BH15" s="197" t="n">
        <f aca="false">Algae_yield_cost_factor/P15</f>
        <v>0.0893468149161256</v>
      </c>
      <c r="BI15" s="197" t="n">
        <f aca="false">Algae_yield_cost_factor/Q15</f>
        <v>0.083255186290294</v>
      </c>
      <c r="BJ15" s="197" t="n">
        <f aca="false">Algae_yield_cost_factor/R15</f>
        <v>0.0766917135882469</v>
      </c>
      <c r="BK15" s="197" t="n">
        <f aca="false">Algae_yield_cost_factor/S15</f>
        <v>0.0704306362850863</v>
      </c>
      <c r="BL15" s="197" t="n">
        <f aca="false">Algae_yield_cost_factor/T15</f>
        <v>0.0651147011181914</v>
      </c>
      <c r="BM15" s="197" t="n">
        <f aca="false">Algae_yield_cost_factor/U15</f>
        <v>0.0610296819136183</v>
      </c>
      <c r="BN15" s="197" t="n">
        <f aca="false">Algae_yield_cost_factor/V15</f>
        <v>0.0581246907960947</v>
      </c>
      <c r="BO15" s="197" t="n">
        <f aca="false">Algae_yield_cost_factor/W15</f>
        <v>0.0561708414292165</v>
      </c>
      <c r="BP15" s="197" t="n">
        <f aca="false">Algae_yield_cost_factor/X15</f>
        <v>0.0549054925841151</v>
      </c>
      <c r="BQ15" s="197" t="n">
        <f aca="false">Algae_yield_cost_factor/Y15</f>
        <v>0.0541059891024751</v>
      </c>
      <c r="BR15" s="197" t="n">
        <f aca="false">Algae_yield_cost_factor/Z15</f>
        <v>0.0536086720972083</v>
      </c>
      <c r="BS15" s="197" t="n">
        <f aca="false">Algae_yield_cost_factor/AA15</f>
        <v>0.0533023306692578</v>
      </c>
      <c r="BT15" s="197" t="n">
        <f aca="false">Algae_yield_cost_factor/AB15</f>
        <v>0.0531147616332659</v>
      </c>
      <c r="BU15" s="197" t="n">
        <f aca="false">Algae_yield_cost_factor/AC15</f>
        <v>0.0530003388974031</v>
      </c>
    </row>
    <row r="16" customFormat="false" ht="15" hidden="false" customHeight="false" outlineLevel="0" collapsed="false">
      <c r="A16" s="18" t="s">
        <v>689</v>
      </c>
      <c r="B16" s="18" t="s">
        <v>22</v>
      </c>
      <c r="C16" s="18" t="s">
        <v>693</v>
      </c>
      <c r="D16" s="18" t="s">
        <v>693</v>
      </c>
      <c r="E16" s="28" t="n">
        <v>7.43393675</v>
      </c>
      <c r="F16" s="185" t="n">
        <f aca="false">E16/$B$2*$F$3/1000</f>
        <v>0.0182131450375</v>
      </c>
      <c r="G16" s="18" t="n">
        <f aca="false">LOOKUP(RIGHT(D16,5),Ref!$C$4:$C$21,Ref!$E$4:$E$21)*$G$3</f>
        <v>3</v>
      </c>
      <c r="H16" s="218" t="n">
        <f aca="false">$E16</f>
        <v>7.43393675</v>
      </c>
      <c r="I16" s="177" t="n">
        <f aca="false">$E16</f>
        <v>7.43393675</v>
      </c>
      <c r="J16" s="177" t="n">
        <f aca="false">$E16</f>
        <v>7.43393675</v>
      </c>
      <c r="K16" s="177" t="n">
        <f aca="false">$E16</f>
        <v>7.43393675</v>
      </c>
      <c r="L16" s="177" t="n">
        <f aca="false">$E16</f>
        <v>7.43393675</v>
      </c>
      <c r="M16" s="177" t="n">
        <f aca="false">M$3*$E16</f>
        <v>7.78649769151555</v>
      </c>
      <c r="N16" s="177" t="n">
        <f aca="false">N$3*$E16</f>
        <v>7.99786166224804</v>
      </c>
      <c r="O16" s="177" t="n">
        <f aca="false">O$3*$E16</f>
        <v>8.3200837327276</v>
      </c>
      <c r="P16" s="177" t="n">
        <f aca="false">P$3*$E16</f>
        <v>8.79007655556207</v>
      </c>
      <c r="Q16" s="177" t="n">
        <f aca="false">Q$3*$E16</f>
        <v>9.43323026591964</v>
      </c>
      <c r="R16" s="177" t="n">
        <f aca="false">R$3*$E16</f>
        <v>10.2405502023981</v>
      </c>
      <c r="S16" s="177" t="n">
        <f aca="false">S$3*$E16</f>
        <v>11.150905125</v>
      </c>
      <c r="T16" s="177" t="n">
        <f aca="false">T$3*$E16</f>
        <v>12.0612600476019</v>
      </c>
      <c r="U16" s="177" t="n">
        <f aca="false">U$3*$E16</f>
        <v>12.8685799840804</v>
      </c>
      <c r="V16" s="177" t="n">
        <f aca="false">V$3*$E16</f>
        <v>13.5117336944379</v>
      </c>
      <c r="W16" s="177" t="n">
        <f aca="false">W$3*$E16</f>
        <v>13.9817265172724</v>
      </c>
      <c r="X16" s="177" t="n">
        <f aca="false">X$3*$E16</f>
        <v>14.303948587752</v>
      </c>
      <c r="Y16" s="177" t="n">
        <f aca="false">Y$3*$E16</f>
        <v>14.5153125584844</v>
      </c>
      <c r="Z16" s="177" t="n">
        <f aca="false">Z$3*$E16</f>
        <v>14.649968230593</v>
      </c>
      <c r="AA16" s="177" t="n">
        <f aca="false">AA$3*$E16</f>
        <v>14.7341651527696</v>
      </c>
      <c r="AB16" s="177" t="n">
        <f aca="false">AB$3*$E16</f>
        <v>14.7861972634083</v>
      </c>
      <c r="AC16" s="177" t="n">
        <f aca="false">AC$3*$E16</f>
        <v>14.8181192695517</v>
      </c>
      <c r="AD16" s="219" t="n">
        <f aca="false">Algae_electricity_factor/H16</f>
        <v>0.001848764331164</v>
      </c>
      <c r="AE16" s="220" t="n">
        <f aca="false">Algae_electricity_factor/I16</f>
        <v>0.001848764331164</v>
      </c>
      <c r="AF16" s="220" t="n">
        <f aca="false">Algae_electricity_factor/J16</f>
        <v>0.001848764331164</v>
      </c>
      <c r="AG16" s="220" t="n">
        <f aca="false">Algae_electricity_factor/K16</f>
        <v>0.001848764331164</v>
      </c>
      <c r="AH16" s="220" t="n">
        <f aca="false">Algae_electricity_factor/L16</f>
        <v>0.001848764331164</v>
      </c>
      <c r="AI16" s="220" t="n">
        <f aca="false">Algae_electricity_factor/M16</f>
        <v>0.0017650550540206</v>
      </c>
      <c r="AJ16" s="220" t="n">
        <f aca="false">Algae_electricity_factor/N16</f>
        <v>0.00171840895528396</v>
      </c>
      <c r="AK16" s="220" t="n">
        <f aca="false">Algae_electricity_factor/O16</f>
        <v>0.00165185802751815</v>
      </c>
      <c r="AL16" s="220" t="n">
        <f aca="false">Algae_electricity_factor/P16</f>
        <v>0.00156353554109068</v>
      </c>
      <c r="AM16" s="220" t="n">
        <f aca="false">Algae_electricity_factor/Q16</f>
        <v>0.0014569343391502</v>
      </c>
      <c r="AN16" s="220" t="n">
        <f aca="false">Algae_electricity_factor/R16</f>
        <v>0.00134207604395229</v>
      </c>
      <c r="AO16" s="220" t="n">
        <f aca="false">Algae_electricity_factor/S16</f>
        <v>0.00123250955410934</v>
      </c>
      <c r="AP16" s="220" t="n">
        <f aca="false">Algae_electricity_factor/T16</f>
        <v>0.00113948269494959</v>
      </c>
      <c r="AQ16" s="220" t="n">
        <f aca="false">Algae_electricity_factor/U16</f>
        <v>0.00106799640057655</v>
      </c>
      <c r="AR16" s="220" t="n">
        <f aca="false">Algae_electricity_factor/V16</f>
        <v>0.00101716015237828</v>
      </c>
      <c r="AS16" s="220" t="n">
        <f aca="false">Algae_electricity_factor/W16</f>
        <v>0.000982968525850584</v>
      </c>
      <c r="AT16" s="220" t="n">
        <f aca="false">Algae_electricity_factor/X16</f>
        <v>0.000960825398610387</v>
      </c>
      <c r="AU16" s="220" t="n">
        <f aca="false">Algae_electricity_factor/Y16</f>
        <v>0.000946834389418359</v>
      </c>
      <c r="AV16" s="220" t="n">
        <f aca="false">Algae_electricity_factor/Z16</f>
        <v>0.000938131529516152</v>
      </c>
      <c r="AW16" s="220" t="n">
        <f aca="false">Algae_electricity_factor/AA16</f>
        <v>0.000932770670141828</v>
      </c>
      <c r="AX16" s="220" t="n">
        <f aca="false">Algae_electricity_factor/AB16</f>
        <v>0.000929488282801476</v>
      </c>
      <c r="AY16" s="220" t="n">
        <f aca="false">Algae_electricity_factor/AC16</f>
        <v>0.0009274859281076</v>
      </c>
      <c r="AZ16" s="221" t="n">
        <f aca="false">Algae_yield_cost_factor/H16</f>
        <v>0.102347201068965</v>
      </c>
      <c r="BA16" s="197" t="n">
        <f aca="false">Algae_yield_cost_factor/I16</f>
        <v>0.102347201068965</v>
      </c>
      <c r="BB16" s="197" t="n">
        <f aca="false">Algae_yield_cost_factor/J16</f>
        <v>0.102347201068965</v>
      </c>
      <c r="BC16" s="197" t="n">
        <f aca="false">Algae_yield_cost_factor/K16</f>
        <v>0.102347201068965</v>
      </c>
      <c r="BD16" s="197" t="n">
        <f aca="false">Algae_yield_cost_factor/L16</f>
        <v>0.102347201068965</v>
      </c>
      <c r="BE16" s="197" t="n">
        <f aca="false">Algae_yield_cost_factor/M16</f>
        <v>0.0977130732492555</v>
      </c>
      <c r="BF16" s="197" t="n">
        <f aca="false">Algae_yield_cost_factor/N16</f>
        <v>0.0951307551214083</v>
      </c>
      <c r="BG16" s="197" t="n">
        <f aca="false">Algae_yield_cost_factor/O16</f>
        <v>0.0914465098822735</v>
      </c>
      <c r="BH16" s="197" t="n">
        <f aca="false">Algae_yield_cost_factor/P16</f>
        <v>0.0865569957755125</v>
      </c>
      <c r="BI16" s="197" t="n">
        <f aca="false">Algae_yield_cost_factor/Q16</f>
        <v>0.0806555758566595</v>
      </c>
      <c r="BJ16" s="197" t="n">
        <f aca="false">Algae_yield_cost_factor/R16</f>
        <v>0.0742970450072151</v>
      </c>
      <c r="BK16" s="197" t="n">
        <f aca="false">Algae_yield_cost_factor/S16</f>
        <v>0.06823146737931</v>
      </c>
      <c r="BL16" s="197" t="n">
        <f aca="false">Algae_yield_cost_factor/T16</f>
        <v>0.0630815201963492</v>
      </c>
      <c r="BM16" s="197" t="n">
        <f aca="false">Algae_yield_cost_factor/U16</f>
        <v>0.0591240541091132</v>
      </c>
      <c r="BN16" s="197" t="n">
        <f aca="false">Algae_yield_cost_factor/V16</f>
        <v>0.0563097701962123</v>
      </c>
      <c r="BO16" s="197" t="n">
        <f aca="false">Algae_yield_cost_factor/W16</f>
        <v>0.0544169290070369</v>
      </c>
      <c r="BP16" s="197" t="n">
        <f aca="false">Algae_yield_cost_factor/X16</f>
        <v>0.0531910901817491</v>
      </c>
      <c r="BQ16" s="197" t="n">
        <f aca="false">Algae_yield_cost_factor/Y16</f>
        <v>0.052416550881744</v>
      </c>
      <c r="BR16" s="197" t="n">
        <f aca="false">Algae_yield_cost_factor/Z16</f>
        <v>0.0519347624042881</v>
      </c>
      <c r="BS16" s="197" t="n">
        <f aca="false">Algae_yield_cost_factor/AA16</f>
        <v>0.0516379863668897</v>
      </c>
      <c r="BT16" s="197" t="n">
        <f aca="false">Algae_yield_cost_factor/AB16</f>
        <v>0.0514562741002442</v>
      </c>
      <c r="BU16" s="197" t="n">
        <f aca="false">Algae_yield_cost_factor/AC16</f>
        <v>0.0513454241692871</v>
      </c>
    </row>
    <row r="17" customFormat="false" ht="15" hidden="false" customHeight="false" outlineLevel="0" collapsed="false">
      <c r="A17" s="18" t="s">
        <v>689</v>
      </c>
      <c r="B17" s="18" t="s">
        <v>22</v>
      </c>
      <c r="C17" s="18" t="s">
        <v>694</v>
      </c>
      <c r="D17" s="18" t="s">
        <v>694</v>
      </c>
      <c r="E17" s="28" t="n">
        <v>7.504911</v>
      </c>
      <c r="F17" s="185" t="n">
        <f aca="false">E17/$B$2*$F$3/1000</f>
        <v>0.01838703195</v>
      </c>
      <c r="G17" s="18" t="n">
        <f aca="false">LOOKUP(RIGHT(D17,5),Ref!$C$4:$C$21,Ref!$E$4:$E$21)*$G$3</f>
        <v>3</v>
      </c>
      <c r="H17" s="218" t="n">
        <f aca="false">$E17</f>
        <v>7.504911</v>
      </c>
      <c r="I17" s="177" t="n">
        <f aca="false">$E17</f>
        <v>7.504911</v>
      </c>
      <c r="J17" s="177" t="n">
        <f aca="false">$E17</f>
        <v>7.504911</v>
      </c>
      <c r="K17" s="177" t="n">
        <f aca="false">$E17</f>
        <v>7.504911</v>
      </c>
      <c r="L17" s="177" t="n">
        <f aca="false">$E17</f>
        <v>7.504911</v>
      </c>
      <c r="M17" s="177" t="n">
        <f aca="false">M$3*$E17</f>
        <v>7.86083795729493</v>
      </c>
      <c r="N17" s="177" t="n">
        <f aca="false">N$3*$E17</f>
        <v>8.07421988968141</v>
      </c>
      <c r="O17" s="177" t="n">
        <f aca="false">O$3*$E17</f>
        <v>8.39951832071593</v>
      </c>
      <c r="P17" s="177" t="n">
        <f aca="false">P$3*$E17</f>
        <v>8.87399832029509</v>
      </c>
      <c r="Q17" s="177" t="n">
        <f aca="false">Q$3*$E17</f>
        <v>9.52329243159531</v>
      </c>
      <c r="R17" s="177" t="n">
        <f aca="false">R$3*$E17</f>
        <v>10.3383201182106</v>
      </c>
      <c r="S17" s="177" t="n">
        <f aca="false">S$3*$E17</f>
        <v>11.2573665</v>
      </c>
      <c r="T17" s="177" t="n">
        <f aca="false">T$3*$E17</f>
        <v>12.1764128817894</v>
      </c>
      <c r="U17" s="177" t="n">
        <f aca="false">U$3*$E17</f>
        <v>12.9914405684047</v>
      </c>
      <c r="V17" s="177" t="n">
        <f aca="false">V$3*$E17</f>
        <v>13.6407346797049</v>
      </c>
      <c r="W17" s="177" t="n">
        <f aca="false">W$3*$E17</f>
        <v>14.1152146792841</v>
      </c>
      <c r="X17" s="177" t="n">
        <f aca="false">X$3*$E17</f>
        <v>14.4405131103186</v>
      </c>
      <c r="Y17" s="177" t="n">
        <f aca="false">Y$3*$E17</f>
        <v>14.6538950427051</v>
      </c>
      <c r="Z17" s="177" t="n">
        <f aca="false">Z$3*$E17</f>
        <v>14.7898363169996</v>
      </c>
      <c r="AA17" s="177" t="n">
        <f aca="false">AA$3*$E17</f>
        <v>14.8748370950072</v>
      </c>
      <c r="AB17" s="177" t="n">
        <f aca="false">AB$3*$E17</f>
        <v>14.9273659733953</v>
      </c>
      <c r="AC17" s="177" t="n">
        <f aca="false">AC$3*$E17</f>
        <v>14.959592749477</v>
      </c>
      <c r="AD17" s="219" t="n">
        <f aca="false">Algae_electricity_factor/H17</f>
        <v>0.00183128049133817</v>
      </c>
      <c r="AE17" s="220" t="n">
        <f aca="false">Algae_electricity_factor/I17</f>
        <v>0.00183128049133817</v>
      </c>
      <c r="AF17" s="220" t="n">
        <f aca="false">Algae_electricity_factor/J17</f>
        <v>0.00183128049133817</v>
      </c>
      <c r="AG17" s="220" t="n">
        <f aca="false">Algae_electricity_factor/K17</f>
        <v>0.00183128049133817</v>
      </c>
      <c r="AH17" s="220" t="n">
        <f aca="false">Algae_electricity_factor/L17</f>
        <v>0.00183128049133817</v>
      </c>
      <c r="AI17" s="220" t="n">
        <f aca="false">Algae_electricity_factor/M17</f>
        <v>0.00174836285624932</v>
      </c>
      <c r="AJ17" s="220" t="n">
        <f aca="false">Algae_electricity_factor/N17</f>
        <v>0.00170215789157453</v>
      </c>
      <c r="AK17" s="220" t="n">
        <f aca="false">Algae_electricity_factor/O17</f>
        <v>0.00163623633865207</v>
      </c>
      <c r="AL17" s="220" t="n">
        <f aca="false">Algae_electricity_factor/P17</f>
        <v>0.00154874912158787</v>
      </c>
      <c r="AM17" s="220" t="n">
        <f aca="false">Algae_electricity_factor/Q17</f>
        <v>0.00144315605157018</v>
      </c>
      <c r="AN17" s="220" t="n">
        <f aca="false">Algae_electricity_factor/R17</f>
        <v>0.00132938397596341</v>
      </c>
      <c r="AO17" s="220" t="n">
        <f aca="false">Algae_electricity_factor/S17</f>
        <v>0.00122085366089212</v>
      </c>
      <c r="AP17" s="220" t="n">
        <f aca="false">Algae_electricity_factor/T17</f>
        <v>0.0011287065605408</v>
      </c>
      <c r="AQ17" s="220" t="n">
        <f aca="false">Algae_electricity_factor/U17</f>
        <v>0.00105789631497479</v>
      </c>
      <c r="AR17" s="220" t="n">
        <f aca="false">Algae_electricity_factor/V17</f>
        <v>0.00100754082725305</v>
      </c>
      <c r="AS17" s="220" t="n">
        <f aca="false">Algae_electricity_factor/W17</f>
        <v>0.000973672552334595</v>
      </c>
      <c r="AT17" s="220" t="n">
        <f aca="false">Algae_electricity_factor/X17</f>
        <v>0.000951738833553543</v>
      </c>
      <c r="AU17" s="220" t="n">
        <f aca="false">Algae_electricity_factor/Y17</f>
        <v>0.000937880137907158</v>
      </c>
      <c r="AV17" s="220" t="n">
        <f aca="false">Algae_electricity_factor/Z17</f>
        <v>0.000929259581306671</v>
      </c>
      <c r="AW17" s="220" t="n">
        <f aca="false">Algae_electricity_factor/AA17</f>
        <v>0.000923949419798511</v>
      </c>
      <c r="AX17" s="220" t="n">
        <f aca="false">Algae_electricity_factor/AB17</f>
        <v>0.000920698074129365</v>
      </c>
      <c r="AY17" s="220" t="n">
        <f aca="false">Algae_electricity_factor/AC17</f>
        <v>0.000918714655785651</v>
      </c>
      <c r="AZ17" s="221" t="n">
        <f aca="false">Algae_yield_cost_factor/H17</f>
        <v>0.101379299406244</v>
      </c>
      <c r="BA17" s="197" t="n">
        <f aca="false">Algae_yield_cost_factor/I17</f>
        <v>0.101379299406244</v>
      </c>
      <c r="BB17" s="197" t="n">
        <f aca="false">Algae_yield_cost_factor/J17</f>
        <v>0.101379299406244</v>
      </c>
      <c r="BC17" s="197" t="n">
        <f aca="false">Algae_yield_cost_factor/K17</f>
        <v>0.101379299406244</v>
      </c>
      <c r="BD17" s="197" t="n">
        <f aca="false">Algae_yield_cost_factor/L17</f>
        <v>0.101379299406244</v>
      </c>
      <c r="BE17" s="197" t="n">
        <f aca="false">Algae_yield_cost_factor/M17</f>
        <v>0.0967889967226903</v>
      </c>
      <c r="BF17" s="197" t="n">
        <f aca="false">Algae_yield_cost_factor/N17</f>
        <v>0.0942310996828994</v>
      </c>
      <c r="BG17" s="197" t="n">
        <f aca="false">Algae_yield_cost_factor/O17</f>
        <v>0.0905816965015403</v>
      </c>
      <c r="BH17" s="197" t="n">
        <f aca="false">Algae_yield_cost_factor/P17</f>
        <v>0.085738422729487</v>
      </c>
      <c r="BI17" s="197" t="n">
        <f aca="false">Algae_yield_cost_factor/Q17</f>
        <v>0.0798928127799562</v>
      </c>
      <c r="BJ17" s="197" t="n">
        <f aca="false">Algae_yield_cost_factor/R17</f>
        <v>0.0735944148165834</v>
      </c>
      <c r="BK17" s="197" t="n">
        <f aca="false">Algae_yield_cost_factor/S17</f>
        <v>0.067586199604163</v>
      </c>
      <c r="BL17" s="197" t="n">
        <f aca="false">Algae_yield_cost_factor/T17</f>
        <v>0.0624849556821536</v>
      </c>
      <c r="BM17" s="197" t="n">
        <f aca="false">Algae_yield_cost_factor/U17</f>
        <v>0.0585649155134185</v>
      </c>
      <c r="BN17" s="197" t="n">
        <f aca="false">Algae_yield_cost_factor/V17</f>
        <v>0.0557772463984819</v>
      </c>
      <c r="BO17" s="197" t="n">
        <f aca="false">Algae_yield_cost_factor/W17</f>
        <v>0.0539023058857797</v>
      </c>
      <c r="BP17" s="197" t="n">
        <f aca="false">Algae_yield_cost_factor/X17</f>
        <v>0.0526880598683541</v>
      </c>
      <c r="BQ17" s="197" t="n">
        <f aca="false">Algae_yield_cost_factor/Y17</f>
        <v>0.0519208454181591</v>
      </c>
      <c r="BR17" s="197" t="n">
        <f aca="false">Algae_yield_cost_factor/Z17</f>
        <v>0.0514436132340218</v>
      </c>
      <c r="BS17" s="197" t="n">
        <f aca="false">Algae_yield_cost_factor/AA17</f>
        <v>0.0511496438197362</v>
      </c>
      <c r="BT17" s="197" t="n">
        <f aca="false">Algae_yield_cost_factor/AB17</f>
        <v>0.0509696500134217</v>
      </c>
      <c r="BU17" s="197" t="n">
        <f aca="false">Algae_yield_cost_factor/AC17</f>
        <v>0.0508598483947913</v>
      </c>
    </row>
    <row r="18" customFormat="false" ht="15" hidden="false" customHeight="false" outlineLevel="0" collapsed="false">
      <c r="A18" s="18" t="s">
        <v>689</v>
      </c>
      <c r="B18" s="18" t="s">
        <v>22</v>
      </c>
      <c r="C18" s="18" t="s">
        <v>682</v>
      </c>
      <c r="D18" s="18" t="s">
        <v>682</v>
      </c>
      <c r="E18" s="28" t="n">
        <v>7.517248</v>
      </c>
      <c r="F18" s="185" t="n">
        <f aca="false">E18/$B$2*$F$3/1000</f>
        <v>0.0184172576</v>
      </c>
      <c r="G18" s="18" t="n">
        <f aca="false">LOOKUP(RIGHT(D18,5),Ref!$C$4:$C$21,Ref!$E$4:$E$21)*$G$3</f>
        <v>3</v>
      </c>
      <c r="H18" s="218" t="n">
        <f aca="false">$E18</f>
        <v>7.517248</v>
      </c>
      <c r="I18" s="177" t="n">
        <f aca="false">$E18</f>
        <v>7.517248</v>
      </c>
      <c r="J18" s="177" t="n">
        <f aca="false">$E18</f>
        <v>7.517248</v>
      </c>
      <c r="K18" s="177" t="n">
        <f aca="false">$E18</f>
        <v>7.517248</v>
      </c>
      <c r="L18" s="177" t="n">
        <f aca="false">$E18</f>
        <v>7.517248</v>
      </c>
      <c r="M18" s="177" t="n">
        <f aca="false">M$3*$E18</f>
        <v>7.87376005029232</v>
      </c>
      <c r="N18" s="177" t="n">
        <f aca="false">N$3*$E18</f>
        <v>8.08749275204833</v>
      </c>
      <c r="O18" s="177" t="n">
        <f aca="false">O$3*$E18</f>
        <v>8.41332592716492</v>
      </c>
      <c r="P18" s="177" t="n">
        <f aca="false">P$3*$E18</f>
        <v>8.88858590398229</v>
      </c>
      <c r="Q18" s="177" t="n">
        <f aca="false">Q$3*$E18</f>
        <v>9.53894736191075</v>
      </c>
      <c r="R18" s="177" t="n">
        <f aca="false">R$3*$E18</f>
        <v>10.3553148374415</v>
      </c>
      <c r="S18" s="177" t="n">
        <f aca="false">S$3*$E18</f>
        <v>11.275872</v>
      </c>
      <c r="T18" s="177" t="n">
        <f aca="false">T$3*$E18</f>
        <v>12.1964291625585</v>
      </c>
      <c r="U18" s="177" t="n">
        <f aca="false">U$3*$E18</f>
        <v>13.0127966380892</v>
      </c>
      <c r="V18" s="177" t="n">
        <f aca="false">V$3*$E18</f>
        <v>13.6631580960177</v>
      </c>
      <c r="W18" s="177" t="n">
        <f aca="false">W$3*$E18</f>
        <v>14.1384180728351</v>
      </c>
      <c r="X18" s="177" t="n">
        <f aca="false">X$3*$E18</f>
        <v>14.4642512479517</v>
      </c>
      <c r="Y18" s="177" t="n">
        <f aca="false">Y$3*$E18</f>
        <v>14.6779839497077</v>
      </c>
      <c r="Z18" s="177" t="n">
        <f aca="false">Z$3*$E18</f>
        <v>14.8141486920088</v>
      </c>
      <c r="AA18" s="177" t="n">
        <f aca="false">AA$3*$E18</f>
        <v>14.8992891991349</v>
      </c>
      <c r="AB18" s="177" t="n">
        <f aca="false">AB$3*$E18</f>
        <v>14.9519044274841</v>
      </c>
      <c r="AC18" s="177" t="n">
        <f aca="false">AC$3*$E18</f>
        <v>14.9841841797751</v>
      </c>
      <c r="AD18" s="219" t="n">
        <f aca="false">Algae_electricity_factor/H18</f>
        <v>0.00182827506868594</v>
      </c>
      <c r="AE18" s="220" t="n">
        <f aca="false">Algae_electricity_factor/I18</f>
        <v>0.00182827506868594</v>
      </c>
      <c r="AF18" s="220" t="n">
        <f aca="false">Algae_electricity_factor/J18</f>
        <v>0.00182827506868594</v>
      </c>
      <c r="AG18" s="220" t="n">
        <f aca="false">Algae_electricity_factor/K18</f>
        <v>0.00182827506868594</v>
      </c>
      <c r="AH18" s="220" t="n">
        <f aca="false">Algae_electricity_factor/L18</f>
        <v>0.00182827506868594</v>
      </c>
      <c r="AI18" s="220" t="n">
        <f aca="false">Algae_electricity_factor/M18</f>
        <v>0.00174549351462889</v>
      </c>
      <c r="AJ18" s="220" t="n">
        <f aca="false">Algae_electricity_factor/N18</f>
        <v>0.00169936437965257</v>
      </c>
      <c r="AK18" s="220" t="n">
        <f aca="false">Algae_electricity_factor/O18</f>
        <v>0.00163355101448691</v>
      </c>
      <c r="AL18" s="220" t="n">
        <f aca="false">Algae_electricity_factor/P18</f>
        <v>0.00154620737786556</v>
      </c>
      <c r="AM18" s="220" t="n">
        <f aca="false">Algae_electricity_factor/Q18</f>
        <v>0.00144078760287616</v>
      </c>
      <c r="AN18" s="220" t="n">
        <f aca="false">Algae_electricity_factor/R18</f>
        <v>0.00132720224534717</v>
      </c>
      <c r="AO18" s="220" t="n">
        <f aca="false">Algae_electricity_factor/S18</f>
        <v>0.00121885004579063</v>
      </c>
      <c r="AP18" s="220" t="n">
        <f aca="false">Algae_electricity_factor/T18</f>
        <v>0.00112685417349206</v>
      </c>
      <c r="AQ18" s="220" t="n">
        <f aca="false">Algae_electricity_factor/U18</f>
        <v>0.00105616013880528</v>
      </c>
      <c r="AR18" s="220" t="n">
        <f aca="false">Algae_electricity_factor/V18</f>
        <v>0.00100588729245071</v>
      </c>
      <c r="AS18" s="220" t="n">
        <f aca="false">Algae_electricity_factor/W18</f>
        <v>0.000972074600760009</v>
      </c>
      <c r="AT18" s="220" t="n">
        <f aca="false">Algae_electricity_factor/X18</f>
        <v>0.000950176878701242</v>
      </c>
      <c r="AU18" s="220" t="n">
        <f aca="false">Algae_electricity_factor/Y18</f>
        <v>0.000936340927379401</v>
      </c>
      <c r="AV18" s="220" t="n">
        <f aca="false">Algae_electricity_factor/Z18</f>
        <v>0.00092773451848387</v>
      </c>
      <c r="AW18" s="220" t="n">
        <f aca="false">Algae_electricity_factor/AA18</f>
        <v>0.000922433071795617</v>
      </c>
      <c r="AX18" s="220" t="n">
        <f aca="false">Algae_electricity_factor/AB18</f>
        <v>0.00091918706210202</v>
      </c>
      <c r="AY18" s="220" t="n">
        <f aca="false">Algae_electricity_factor/AC18</f>
        <v>0.00091720689886338</v>
      </c>
      <c r="AZ18" s="221" t="n">
        <f aca="false">Algae_yield_cost_factor/H18</f>
        <v>0.101212919845962</v>
      </c>
      <c r="BA18" s="197" t="n">
        <f aca="false">Algae_yield_cost_factor/I18</f>
        <v>0.101212919845962</v>
      </c>
      <c r="BB18" s="197" t="n">
        <f aca="false">Algae_yield_cost_factor/J18</f>
        <v>0.101212919845962</v>
      </c>
      <c r="BC18" s="197" t="n">
        <f aca="false">Algae_yield_cost_factor/K18</f>
        <v>0.101212919845962</v>
      </c>
      <c r="BD18" s="197" t="n">
        <f aca="false">Algae_yield_cost_factor/L18</f>
        <v>0.101212919845962</v>
      </c>
      <c r="BE18" s="197" t="n">
        <f aca="false">Algae_yield_cost_factor/M18</f>
        <v>0.0966301505794517</v>
      </c>
      <c r="BF18" s="197" t="n">
        <f aca="false">Algae_yield_cost_factor/N18</f>
        <v>0.0940764514556774</v>
      </c>
      <c r="BG18" s="197" t="n">
        <f aca="false">Algae_yield_cost_factor/O18</f>
        <v>0.0904330375255773</v>
      </c>
      <c r="BH18" s="197" t="n">
        <f aca="false">Algae_yield_cost_factor/P18</f>
        <v>0.0855977123363732</v>
      </c>
      <c r="BI18" s="197" t="n">
        <f aca="false">Algae_yield_cost_factor/Q18</f>
        <v>0.0797616959628355</v>
      </c>
      <c r="BJ18" s="197" t="n">
        <f aca="false">Algae_yield_cost_factor/R18</f>
        <v>0.0734736346726275</v>
      </c>
      <c r="BK18" s="197" t="n">
        <f aca="false">Algae_yield_cost_factor/S18</f>
        <v>0.067475279897308</v>
      </c>
      <c r="BL18" s="197" t="n">
        <f aca="false">Algae_yield_cost_factor/T18</f>
        <v>0.0623824079282082</v>
      </c>
      <c r="BM18" s="197" t="n">
        <f aca="false">Algae_yield_cost_factor/U18</f>
        <v>0.0584688011690881</v>
      </c>
      <c r="BN18" s="197" t="n">
        <f aca="false">Algae_yield_cost_factor/V18</f>
        <v>0.0556857070627013</v>
      </c>
      <c r="BO18" s="197" t="n">
        <f aca="false">Algae_yield_cost_factor/W18</f>
        <v>0.0538138436256929</v>
      </c>
      <c r="BP18" s="197" t="n">
        <f aca="false">Algae_yield_cost_factor/X18</f>
        <v>0.0526015903791745</v>
      </c>
      <c r="BQ18" s="197" t="n">
        <f aca="false">Algae_yield_cost_factor/Y18</f>
        <v>0.05183563504996</v>
      </c>
      <c r="BR18" s="197" t="n">
        <f aca="false">Algae_yield_cost_factor/Z18</f>
        <v>0.051359186079767</v>
      </c>
      <c r="BS18" s="197" t="n">
        <f aca="false">Algae_yield_cost_factor/AA18</f>
        <v>0.0510656991160622</v>
      </c>
      <c r="BT18" s="197" t="n">
        <f aca="false">Algae_yield_cost_factor/AB18</f>
        <v>0.0508860007082218</v>
      </c>
      <c r="BU18" s="197" t="n">
        <f aca="false">Algae_yield_cost_factor/AC18</f>
        <v>0.0507763792915175</v>
      </c>
    </row>
    <row r="19" customFormat="false" ht="15" hidden="false" customHeight="false" outlineLevel="0" collapsed="false">
      <c r="A19" s="18" t="s">
        <v>689</v>
      </c>
      <c r="B19" s="18" t="s">
        <v>22</v>
      </c>
      <c r="C19" s="18" t="s">
        <v>683</v>
      </c>
      <c r="D19" s="18" t="s">
        <v>683</v>
      </c>
      <c r="E19" s="28" t="n">
        <v>7.1419185</v>
      </c>
      <c r="F19" s="185" t="n">
        <f aca="false">E19/$B$2*$F$3/1000</f>
        <v>0.017497700325</v>
      </c>
      <c r="G19" s="18" t="n">
        <f aca="false">LOOKUP(RIGHT(D19,5),Ref!$C$4:$C$21,Ref!$E$4:$E$21)*$G$3</f>
        <v>3</v>
      </c>
      <c r="H19" s="218" t="n">
        <f aca="false">$E19</f>
        <v>7.1419185</v>
      </c>
      <c r="I19" s="177" t="n">
        <f aca="false">$E19</f>
        <v>7.1419185</v>
      </c>
      <c r="J19" s="177" t="n">
        <f aca="false">$E19</f>
        <v>7.1419185</v>
      </c>
      <c r="K19" s="177" t="n">
        <f aca="false">$E19</f>
        <v>7.1419185</v>
      </c>
      <c r="L19" s="177" t="n">
        <f aca="false">$E19</f>
        <v>7.1419185</v>
      </c>
      <c r="M19" s="177" t="n">
        <f aca="false">M$3*$E19</f>
        <v>7.48063022102552</v>
      </c>
      <c r="N19" s="177" t="n">
        <f aca="false">N$3*$E19</f>
        <v>7.68369143927005</v>
      </c>
      <c r="O19" s="177" t="n">
        <f aca="false">O$3*$E19</f>
        <v>7.99325605404382</v>
      </c>
      <c r="P19" s="177" t="n">
        <f aca="false">P$3*$E19</f>
        <v>8.44478672334481</v>
      </c>
      <c r="Q19" s="177" t="n">
        <f aca="false">Q$3*$E19</f>
        <v>9.06267621269866</v>
      </c>
      <c r="R19" s="177" t="n">
        <f aca="false">R$3*$E19</f>
        <v>9.83828318699185</v>
      </c>
      <c r="S19" s="177" t="n">
        <f aca="false">S$3*$E19</f>
        <v>10.71287775</v>
      </c>
      <c r="T19" s="177" t="n">
        <f aca="false">T$3*$E19</f>
        <v>11.5874723130082</v>
      </c>
      <c r="U19" s="177" t="n">
        <f aca="false">U$3*$E19</f>
        <v>12.3630792873013</v>
      </c>
      <c r="V19" s="177" t="n">
        <f aca="false">V$3*$E19</f>
        <v>12.9809687766552</v>
      </c>
      <c r="W19" s="177" t="n">
        <f aca="false">W$3*$E19</f>
        <v>13.4324994459562</v>
      </c>
      <c r="X19" s="177" t="n">
        <f aca="false">X$3*$E19</f>
        <v>13.74206406073</v>
      </c>
      <c r="Y19" s="177" t="n">
        <f aca="false">Y$3*$E19</f>
        <v>13.9451252789745</v>
      </c>
      <c r="Z19" s="177" t="n">
        <f aca="false">Z$3*$E19</f>
        <v>14.0744914369206</v>
      </c>
      <c r="AA19" s="177" t="n">
        <f aca="false">AA$3*$E19</f>
        <v>14.1553809543269</v>
      </c>
      <c r="AB19" s="177" t="n">
        <f aca="false">AB$3*$E19</f>
        <v>14.2053691511681</v>
      </c>
      <c r="AC19" s="177" t="n">
        <f aca="false">AC$3*$E19</f>
        <v>14.2360372041661</v>
      </c>
      <c r="AD19" s="219" t="n">
        <f aca="false">Algae_electricity_factor/H19</f>
        <v>0.00192435647417837</v>
      </c>
      <c r="AE19" s="220" t="n">
        <f aca="false">Algae_electricity_factor/I19</f>
        <v>0.00192435647417837</v>
      </c>
      <c r="AF19" s="220" t="n">
        <f aca="false">Algae_electricity_factor/J19</f>
        <v>0.00192435647417837</v>
      </c>
      <c r="AG19" s="220" t="n">
        <f aca="false">Algae_electricity_factor/K19</f>
        <v>0.00192435647417837</v>
      </c>
      <c r="AH19" s="220" t="n">
        <f aca="false">Algae_electricity_factor/L19</f>
        <v>0.00192435647417837</v>
      </c>
      <c r="AI19" s="220" t="n">
        <f aca="false">Algae_electricity_factor/M19</f>
        <v>0.00183722449813128</v>
      </c>
      <c r="AJ19" s="220" t="n">
        <f aca="false">Algae_electricity_factor/N19</f>
        <v>0.00178867113706415</v>
      </c>
      <c r="AK19" s="220" t="n">
        <f aca="false">Algae_electricity_factor/O19</f>
        <v>0.00171939907975003</v>
      </c>
      <c r="AL19" s="220" t="n">
        <f aca="false">Algae_electricity_factor/P19</f>
        <v>0.00162746526984943</v>
      </c>
      <c r="AM19" s="220" t="n">
        <f aca="false">Algae_electricity_factor/Q19</f>
        <v>0.00151650536563048</v>
      </c>
      <c r="AN19" s="220" t="n">
        <f aca="false">Algae_electricity_factor/R19</f>
        <v>0.00139695075271883</v>
      </c>
      <c r="AO19" s="220" t="n">
        <f aca="false">Algae_electricity_factor/S19</f>
        <v>0.00128290431611891</v>
      </c>
      <c r="AP19" s="220" t="n">
        <f aca="false">Algae_electricity_factor/T19</f>
        <v>0.00118607378143209</v>
      </c>
      <c r="AQ19" s="220" t="n">
        <f aca="false">Algae_electricity_factor/U19</f>
        <v>0.00111166456059583</v>
      </c>
      <c r="AR19" s="220" t="n">
        <f aca="false">Algae_electricity_factor/V19</f>
        <v>0.00105874972353724</v>
      </c>
      <c r="AS19" s="220" t="n">
        <f aca="false">Algae_electricity_factor/W19</f>
        <v>0.00102316007224305</v>
      </c>
      <c r="AT19" s="220" t="n">
        <f aca="false">Algae_electricity_factor/X19</f>
        <v>0.00100011155840873</v>
      </c>
      <c r="AU19" s="220" t="n">
        <f aca="false">Algae_electricity_factor/Y19</f>
        <v>0.000985548485839057</v>
      </c>
      <c r="AV19" s="220" t="n">
        <f aca="false">Algae_electricity_factor/Z19</f>
        <v>0.000976489784027056</v>
      </c>
      <c r="AW19" s="220" t="n">
        <f aca="false">Algae_electricity_factor/AA19</f>
        <v>0.000970909730220173</v>
      </c>
      <c r="AX19" s="220" t="n">
        <f aca="false">Algae_electricity_factor/AB19</f>
        <v>0.00096749313286231</v>
      </c>
      <c r="AY19" s="220" t="n">
        <f aca="false">Algae_electricity_factor/AC19</f>
        <v>0.000965408906033714</v>
      </c>
      <c r="AZ19" s="221" t="n">
        <f aca="false">Algae_yield_cost_factor/H19</f>
        <v>0.106531966065731</v>
      </c>
      <c r="BA19" s="197" t="n">
        <f aca="false">Algae_yield_cost_factor/I19</f>
        <v>0.106531966065731</v>
      </c>
      <c r="BB19" s="197" t="n">
        <f aca="false">Algae_yield_cost_factor/J19</f>
        <v>0.106531966065731</v>
      </c>
      <c r="BC19" s="197" t="n">
        <f aca="false">Algae_yield_cost_factor/K19</f>
        <v>0.106531966065731</v>
      </c>
      <c r="BD19" s="197" t="n">
        <f aca="false">Algae_yield_cost_factor/L19</f>
        <v>0.106531966065731</v>
      </c>
      <c r="BE19" s="197" t="n">
        <f aca="false">Algae_yield_cost_factor/M19</f>
        <v>0.101708358361004</v>
      </c>
      <c r="BF19" s="197" t="n">
        <f aca="false">Algae_yield_cost_factor/N19</f>
        <v>0.0990204545952587</v>
      </c>
      <c r="BG19" s="197" t="n">
        <f aca="false">Algae_yield_cost_factor/O19</f>
        <v>0.0951855682017473</v>
      </c>
      <c r="BH19" s="197" t="n">
        <f aca="false">Algae_yield_cost_factor/P19</f>
        <v>0.0900961319938301</v>
      </c>
      <c r="BI19" s="197" t="n">
        <f aca="false">Algae_yield_cost_factor/Q19</f>
        <v>0.0839534152417496</v>
      </c>
      <c r="BJ19" s="197" t="n">
        <f aca="false">Algae_yield_cost_factor/R19</f>
        <v>0.0773348972402219</v>
      </c>
      <c r="BK19" s="197" t="n">
        <f aca="false">Algae_yield_cost_factor/S19</f>
        <v>0.0710213107104874</v>
      </c>
      <c r="BL19" s="197" t="n">
        <f aca="false">Algae_yield_cost_factor/T19</f>
        <v>0.0656607928574804</v>
      </c>
      <c r="BM19" s="197" t="n">
        <f aca="false">Algae_yield_cost_factor/U19</f>
        <v>0.0615415141814801</v>
      </c>
      <c r="BN19" s="197" t="n">
        <f aca="false">Algae_yield_cost_factor/V19</f>
        <v>0.0586121600303444</v>
      </c>
      <c r="BO19" s="197" t="n">
        <f aca="false">Algae_yield_cost_factor/W19</f>
        <v>0.0566419244867542</v>
      </c>
      <c r="BP19" s="197" t="n">
        <f aca="false">Algae_yield_cost_factor/X19</f>
        <v>0.0553659636517371</v>
      </c>
      <c r="BQ19" s="197" t="n">
        <f aca="false">Algae_yield_cost_factor/Y19</f>
        <v>0.0545597550445362</v>
      </c>
      <c r="BR19" s="197" t="n">
        <f aca="false">Algae_yield_cost_factor/Z19</f>
        <v>0.0540582672344631</v>
      </c>
      <c r="BS19" s="197" t="n">
        <f aca="false">Algae_yield_cost_factor/AA19</f>
        <v>0.0537493566397909</v>
      </c>
      <c r="BT19" s="197" t="n">
        <f aca="false">Algae_yield_cost_factor/AB19</f>
        <v>0.0535602145350551</v>
      </c>
      <c r="BU19" s="197" t="n">
        <f aca="false">Algae_yield_cost_factor/AC19</f>
        <v>0.053444832180093</v>
      </c>
    </row>
    <row r="20" customFormat="false" ht="15" hidden="false" customHeight="false" outlineLevel="0" collapsed="false">
      <c r="A20" s="18" t="s">
        <v>689</v>
      </c>
      <c r="B20" s="18" t="s">
        <v>22</v>
      </c>
      <c r="C20" s="18" t="s">
        <v>684</v>
      </c>
      <c r="D20" s="18" t="s">
        <v>684</v>
      </c>
      <c r="E20" s="28" t="n">
        <v>7.326718</v>
      </c>
      <c r="F20" s="185" t="n">
        <f aca="false">E20/$B$2*$F$3/1000</f>
        <v>0.0179504591</v>
      </c>
      <c r="G20" s="18" t="n">
        <f aca="false">LOOKUP(RIGHT(D20,5),Ref!$C$4:$C$21,Ref!$E$4:$E$21)*$G$3</f>
        <v>3.5</v>
      </c>
      <c r="H20" s="218" t="n">
        <f aca="false">$E20</f>
        <v>7.326718</v>
      </c>
      <c r="I20" s="177" t="n">
        <f aca="false">$E20</f>
        <v>7.326718</v>
      </c>
      <c r="J20" s="177" t="n">
        <f aca="false">$E20</f>
        <v>7.326718</v>
      </c>
      <c r="K20" s="177" t="n">
        <f aca="false">$E20</f>
        <v>7.326718</v>
      </c>
      <c r="L20" s="177" t="n">
        <f aca="false">$E20</f>
        <v>7.326718</v>
      </c>
      <c r="M20" s="177" t="n">
        <f aca="false">M$3*$E20</f>
        <v>7.6741939986758</v>
      </c>
      <c r="N20" s="177" t="n">
        <f aca="false">N$3*$E20</f>
        <v>7.88250949300888</v>
      </c>
      <c r="O20" s="177" t="n">
        <f aca="false">O$3*$E20</f>
        <v>8.20008419443204</v>
      </c>
      <c r="P20" s="177" t="n">
        <f aca="false">P$3*$E20</f>
        <v>8.66329836893146</v>
      </c>
      <c r="Q20" s="177" t="n">
        <f aca="false">Q$3*$E20</f>
        <v>9.29717595289713</v>
      </c>
      <c r="R20" s="177" t="n">
        <f aca="false">R$3*$E20</f>
        <v>10.0928520138154</v>
      </c>
      <c r="S20" s="177" t="n">
        <f aca="false">S$3*$E20</f>
        <v>10.990077</v>
      </c>
      <c r="T20" s="177" t="n">
        <f aca="false">T$3*$E20</f>
        <v>11.8873019861846</v>
      </c>
      <c r="U20" s="177" t="n">
        <f aca="false">U$3*$E20</f>
        <v>12.6829780471029</v>
      </c>
      <c r="V20" s="177" t="n">
        <f aca="false">V$3*$E20</f>
        <v>13.3168556310685</v>
      </c>
      <c r="W20" s="177" t="n">
        <f aca="false">W$3*$E20</f>
        <v>13.780069805568</v>
      </c>
      <c r="X20" s="177" t="n">
        <f aca="false">X$3*$E20</f>
        <v>14.0976445069911</v>
      </c>
      <c r="Y20" s="177" t="n">
        <f aca="false">Y$3*$E20</f>
        <v>14.3059600013242</v>
      </c>
      <c r="Z20" s="177" t="n">
        <f aca="false">Z$3*$E20</f>
        <v>14.4386735513339</v>
      </c>
      <c r="AA20" s="177" t="n">
        <f aca="false">AA$3*$E20</f>
        <v>14.521656111719</v>
      </c>
      <c r="AB20" s="177" t="n">
        <f aca="false">AB$3*$E20</f>
        <v>14.5729377696635</v>
      </c>
      <c r="AC20" s="177" t="n">
        <f aca="false">AC$3*$E20</f>
        <v>14.6043993686617</v>
      </c>
      <c r="AD20" s="219" t="n">
        <f aca="false">Algae_electricity_factor/H20</f>
        <v>0.00187581903705442</v>
      </c>
      <c r="AE20" s="220" t="n">
        <f aca="false">Algae_electricity_factor/I20</f>
        <v>0.00187581903705442</v>
      </c>
      <c r="AF20" s="220" t="n">
        <f aca="false">Algae_electricity_factor/J20</f>
        <v>0.00187581903705442</v>
      </c>
      <c r="AG20" s="220" t="n">
        <f aca="false">Algae_electricity_factor/K20</f>
        <v>0.00187581903705442</v>
      </c>
      <c r="AH20" s="220" t="n">
        <f aca="false">Algae_electricity_factor/L20</f>
        <v>0.00187581903705442</v>
      </c>
      <c r="AI20" s="220" t="n">
        <f aca="false">Algae_electricity_factor/M20</f>
        <v>0.00179088476339023</v>
      </c>
      <c r="AJ20" s="220" t="n">
        <f aca="false">Algae_electricity_factor/N20</f>
        <v>0.00174355604845369</v>
      </c>
      <c r="AK20" s="220" t="n">
        <f aca="false">Algae_electricity_factor/O20</f>
        <v>0.00167603121841863</v>
      </c>
      <c r="AL20" s="220" t="n">
        <f aca="false">Algae_electricity_factor/P20</f>
        <v>0.00158641622604352</v>
      </c>
      <c r="AM20" s="220" t="n">
        <f aca="false">Algae_electricity_factor/Q20</f>
        <v>0.00147825502853332</v>
      </c>
      <c r="AN20" s="220" t="n">
        <f aca="false">Algae_electricity_factor/R20</f>
        <v>0.00136171590396021</v>
      </c>
      <c r="AO20" s="220" t="n">
        <f aca="false">Algae_electricity_factor/S20</f>
        <v>0.00125054602470294</v>
      </c>
      <c r="AP20" s="220" t="n">
        <f aca="false">Algae_electricity_factor/T20</f>
        <v>0.0011561578160883</v>
      </c>
      <c r="AQ20" s="220" t="n">
        <f aca="false">Algae_electricity_factor/U20</f>
        <v>0.00108362539558828</v>
      </c>
      <c r="AR20" s="220" t="n">
        <f aca="false">Algae_electricity_factor/V20</f>
        <v>0.00103204521279521</v>
      </c>
      <c r="AS20" s="220" t="n">
        <f aca="false">Algae_electricity_factor/W20</f>
        <v>0.000997353228063913</v>
      </c>
      <c r="AT20" s="220" t="n">
        <f aca="false">Algae_electricity_factor/X20</f>
        <v>0.000974886059633134</v>
      </c>
      <c r="AU20" s="220" t="n">
        <f aca="false">Algae_electricity_factor/Y20</f>
        <v>0.000960690306855123</v>
      </c>
      <c r="AV20" s="220" t="n">
        <f aca="false">Algae_electricity_factor/Z20</f>
        <v>0.00095186008982519</v>
      </c>
      <c r="AW20" s="220" t="n">
        <f aca="false">Algae_electricity_factor/AA20</f>
        <v>0.00094642077995761</v>
      </c>
      <c r="AX20" s="220" t="n">
        <f aca="false">Algae_electricity_factor/AB20</f>
        <v>0.000943090358358584</v>
      </c>
      <c r="AY20" s="220" t="n">
        <f aca="false">Algae_electricity_factor/AC20</f>
        <v>0.000941058701326698</v>
      </c>
      <c r="AZ20" s="221" t="n">
        <f aca="false">Algae_yield_cost_factor/H20</f>
        <v>0.103844943846101</v>
      </c>
      <c r="BA20" s="197" t="n">
        <f aca="false">Algae_yield_cost_factor/I20</f>
        <v>0.103844943846101</v>
      </c>
      <c r="BB20" s="197" t="n">
        <f aca="false">Algae_yield_cost_factor/J20</f>
        <v>0.103844943846101</v>
      </c>
      <c r="BC20" s="197" t="n">
        <f aca="false">Algae_yield_cost_factor/K20</f>
        <v>0.103844943846101</v>
      </c>
      <c r="BD20" s="197" t="n">
        <f aca="false">Algae_yield_cost_factor/L20</f>
        <v>0.103844943846101</v>
      </c>
      <c r="BE20" s="197" t="n">
        <f aca="false">Algae_yield_cost_factor/M20</f>
        <v>0.0991430004789433</v>
      </c>
      <c r="BF20" s="197" t="n">
        <f aca="false">Algae_yield_cost_factor/N20</f>
        <v>0.0965228928631194</v>
      </c>
      <c r="BG20" s="197" t="n">
        <f aca="false">Algae_yield_cost_factor/O20</f>
        <v>0.0927847326010188</v>
      </c>
      <c r="BH20" s="197" t="n">
        <f aca="false">Algae_yield_cost_factor/P20</f>
        <v>0.087823665639264</v>
      </c>
      <c r="BI20" s="197" t="n">
        <f aca="false">Algae_yield_cost_factor/Q20</f>
        <v>0.0818358846966996</v>
      </c>
      <c r="BJ20" s="197" t="n">
        <f aca="false">Algae_yield_cost_factor/R20</f>
        <v>0.0753843034897126</v>
      </c>
      <c r="BK20" s="197" t="n">
        <f aca="false">Algae_yield_cost_factor/S20</f>
        <v>0.0692299625640674</v>
      </c>
      <c r="BL20" s="197" t="n">
        <f aca="false">Algae_yield_cost_factor/T20</f>
        <v>0.0640046513641589</v>
      </c>
      <c r="BM20" s="197" t="n">
        <f aca="false">Algae_yield_cost_factor/U20</f>
        <v>0.0599892719565193</v>
      </c>
      <c r="BN20" s="197" t="n">
        <f aca="false">Algae_yield_cost_factor/V20</f>
        <v>0.057133803982312</v>
      </c>
      <c r="BO20" s="197" t="n">
        <f aca="false">Algae_yield_cost_factor/W20</f>
        <v>0.0552132630691604</v>
      </c>
      <c r="BP20" s="197" t="n">
        <f aca="false">Algae_yield_cost_factor/X20</f>
        <v>0.0539694853923229</v>
      </c>
      <c r="BQ20" s="197" t="n">
        <f aca="false">Algae_yield_cost_factor/Y20</f>
        <v>0.0531836115308439</v>
      </c>
      <c r="BR20" s="197" t="n">
        <f aca="false">Algae_yield_cost_factor/Z20</f>
        <v>0.0526947725898221</v>
      </c>
      <c r="BS20" s="197" t="n">
        <f aca="false">Algae_yield_cost_factor/AA20</f>
        <v>0.0523936535497641</v>
      </c>
      <c r="BT20" s="197" t="n">
        <f aca="false">Algae_yield_cost_factor/AB20</f>
        <v>0.0522092821167511</v>
      </c>
      <c r="BU20" s="197" t="n">
        <f aca="false">Algae_yield_cost_factor/AC20</f>
        <v>0.0520968100145797</v>
      </c>
    </row>
    <row r="21" customFormat="false" ht="15" hidden="false" customHeight="false" outlineLevel="0" collapsed="false">
      <c r="A21" s="18" t="s">
        <v>689</v>
      </c>
      <c r="B21" s="18" t="s">
        <v>22</v>
      </c>
      <c r="C21" s="18" t="s">
        <v>685</v>
      </c>
      <c r="D21" s="18" t="s">
        <v>685</v>
      </c>
      <c r="E21" s="28" t="n">
        <v>7.532578</v>
      </c>
      <c r="F21" s="185" t="n">
        <f aca="false">E21/$B$2*$F$3/1000</f>
        <v>0.0184548161</v>
      </c>
      <c r="G21" s="18" t="n">
        <f aca="false">LOOKUP(RIGHT(D21,5),Ref!$C$4:$C$21,Ref!$E$4:$E$21)*$G$3</f>
        <v>4</v>
      </c>
      <c r="H21" s="218" t="n">
        <f aca="false">$E21</f>
        <v>7.532578</v>
      </c>
      <c r="I21" s="177" t="n">
        <f aca="false">$E21</f>
        <v>7.532578</v>
      </c>
      <c r="J21" s="177" t="n">
        <f aca="false">$E21</f>
        <v>7.532578</v>
      </c>
      <c r="K21" s="177" t="n">
        <f aca="false">$E21</f>
        <v>7.532578</v>
      </c>
      <c r="L21" s="177" t="n">
        <f aca="false">$E21</f>
        <v>7.532578</v>
      </c>
      <c r="M21" s="177" t="n">
        <f aca="false">M$3*$E21</f>
        <v>7.88981708892813</v>
      </c>
      <c r="N21" s="177" t="n">
        <f aca="false">N$3*$E21</f>
        <v>8.10398565794806</v>
      </c>
      <c r="O21" s="177" t="n">
        <f aca="false">O$3*$E21</f>
        <v>8.43048330795952</v>
      </c>
      <c r="P21" s="177" t="n">
        <f aca="false">P$3*$E21</f>
        <v>8.90671248726224</v>
      </c>
      <c r="Q21" s="177" t="n">
        <f aca="false">Q$3*$E21</f>
        <v>9.55840023390036</v>
      </c>
      <c r="R21" s="177" t="n">
        <f aca="false">R$3*$E21</f>
        <v>10.3764325358942</v>
      </c>
      <c r="S21" s="177" t="n">
        <f aca="false">S$3*$E21</f>
        <v>11.298867</v>
      </c>
      <c r="T21" s="177" t="n">
        <f aca="false">T$3*$E21</f>
        <v>12.2213014641058</v>
      </c>
      <c r="U21" s="177" t="n">
        <f aca="false">U$3*$E21</f>
        <v>13.0393337660996</v>
      </c>
      <c r="V21" s="177" t="n">
        <f aca="false">V$3*$E21</f>
        <v>13.6910215127378</v>
      </c>
      <c r="W21" s="177" t="n">
        <f aca="false">W$3*$E21</f>
        <v>14.1672506920405</v>
      </c>
      <c r="X21" s="177" t="n">
        <f aca="false">X$3*$E21</f>
        <v>14.4937483420519</v>
      </c>
      <c r="Y21" s="177" t="n">
        <f aca="false">Y$3*$E21</f>
        <v>14.7079169110719</v>
      </c>
      <c r="Z21" s="177" t="n">
        <f aca="false">Z$3*$E21</f>
        <v>14.8443593355114</v>
      </c>
      <c r="AA21" s="177" t="n">
        <f aca="false">AA$3*$E21</f>
        <v>14.9296734705362</v>
      </c>
      <c r="AB21" s="177" t="n">
        <f aca="false">AB$3*$E21</f>
        <v>14.9823959976535</v>
      </c>
      <c r="AC21" s="177" t="n">
        <f aca="false">AC$3*$E21</f>
        <v>15.0147415783705</v>
      </c>
      <c r="AD21" s="219" t="n">
        <f aca="false">Algae_electricity_factor/H21</f>
        <v>0.00182455423674727</v>
      </c>
      <c r="AE21" s="220" t="n">
        <f aca="false">Algae_electricity_factor/I21</f>
        <v>0.00182455423674727</v>
      </c>
      <c r="AF21" s="220" t="n">
        <f aca="false">Algae_electricity_factor/J21</f>
        <v>0.00182455423674727</v>
      </c>
      <c r="AG21" s="220" t="n">
        <f aca="false">Algae_electricity_factor/K21</f>
        <v>0.00182455423674727</v>
      </c>
      <c r="AH21" s="220" t="n">
        <f aca="false">Algae_electricity_factor/L21</f>
        <v>0.00182455423674727</v>
      </c>
      <c r="AI21" s="220" t="n">
        <f aca="false">Algae_electricity_factor/M21</f>
        <v>0.00174194115638192</v>
      </c>
      <c r="AJ21" s="220" t="n">
        <f aca="false">Algae_electricity_factor/N21</f>
        <v>0.0016959059015671</v>
      </c>
      <c r="AK21" s="220" t="n">
        <f aca="false">Algae_electricity_factor/O21</f>
        <v>0.00163022647711709</v>
      </c>
      <c r="AL21" s="220" t="n">
        <f aca="false">Algae_electricity_factor/P21</f>
        <v>0.00154306059875452</v>
      </c>
      <c r="AM21" s="220" t="n">
        <f aca="false">Algae_electricity_factor/Q21</f>
        <v>0.0014378553698542</v>
      </c>
      <c r="AN21" s="220" t="n">
        <f aca="false">Algae_electricity_factor/R21</f>
        <v>0.00132450117667969</v>
      </c>
      <c r="AO21" s="220" t="n">
        <f aca="false">Algae_electricity_factor/S21</f>
        <v>0.00121636949116485</v>
      </c>
      <c r="AP21" s="220" t="n">
        <f aca="false">Algae_electricity_factor/T21</f>
        <v>0.00112456084516812</v>
      </c>
      <c r="AQ21" s="220" t="n">
        <f aca="false">Algae_electricity_factor/U21</f>
        <v>0.00105401068413945</v>
      </c>
      <c r="AR21" s="220" t="n">
        <f aca="false">Algae_electricity_factor/V21</f>
        <v>0.00100384015106123</v>
      </c>
      <c r="AS21" s="220" t="n">
        <f aca="false">Algae_electricity_factor/W21</f>
        <v>0.000970096273601678</v>
      </c>
      <c r="AT21" s="220" t="n">
        <f aca="false">Algae_electricity_factor/X21</f>
        <v>0.000948243116906742</v>
      </c>
      <c r="AU21" s="220" t="n">
        <f aca="false">Algae_electricity_factor/Y21</f>
        <v>0.000934435323956944</v>
      </c>
      <c r="AV21" s="220" t="n">
        <f aca="false">Algae_electricity_factor/Z21</f>
        <v>0.000925846430478892</v>
      </c>
      <c r="AW21" s="220" t="n">
        <f aca="false">Algae_electricity_factor/AA21</f>
        <v>0.000920555773081867</v>
      </c>
      <c r="AX21" s="220" t="n">
        <f aca="false">Algae_electricity_factor/AB21</f>
        <v>0.000917316369536736</v>
      </c>
      <c r="AY21" s="220" t="n">
        <f aca="false">Algae_electricity_factor/AC21</f>
        <v>0.000915340236246733</v>
      </c>
      <c r="AZ21" s="221" t="n">
        <f aca="false">Algae_yield_cost_factor/H21</f>
        <v>0.10100693537939</v>
      </c>
      <c r="BA21" s="197" t="n">
        <f aca="false">Algae_yield_cost_factor/I21</f>
        <v>0.10100693537939</v>
      </c>
      <c r="BB21" s="197" t="n">
        <f aca="false">Algae_yield_cost_factor/J21</f>
        <v>0.10100693537939</v>
      </c>
      <c r="BC21" s="197" t="n">
        <f aca="false">Algae_yield_cost_factor/K21</f>
        <v>0.10100693537939</v>
      </c>
      <c r="BD21" s="197" t="n">
        <f aca="false">Algae_yield_cost_factor/L21</f>
        <v>0.10100693537939</v>
      </c>
      <c r="BE21" s="197" t="n">
        <f aca="false">Algae_yield_cost_factor/M21</f>
        <v>0.096433492780703</v>
      </c>
      <c r="BF21" s="197" t="n">
        <f aca="false">Algae_yield_cost_factor/N21</f>
        <v>0.0938849908427484</v>
      </c>
      <c r="BG21" s="197" t="n">
        <f aca="false">Algae_yield_cost_factor/O21</f>
        <v>0.0902489918422446</v>
      </c>
      <c r="BH21" s="197" t="n">
        <f aca="false">Algae_yield_cost_factor/P21</f>
        <v>0.0854235073125266</v>
      </c>
      <c r="BI21" s="197" t="n">
        <f aca="false">Algae_yield_cost_factor/Q21</f>
        <v>0.0795993681649541</v>
      </c>
      <c r="BJ21" s="197" t="n">
        <f aca="false">Algae_yield_cost_factor/R21</f>
        <v>0.0733241040843573</v>
      </c>
      <c r="BK21" s="197" t="n">
        <f aca="false">Algae_yield_cost_factor/S21</f>
        <v>0.0673379569195936</v>
      </c>
      <c r="BL21" s="197" t="n">
        <f aca="false">Algae_yield_cost_factor/T21</f>
        <v>0.0622554497588352</v>
      </c>
      <c r="BM21" s="197" t="n">
        <f aca="false">Algae_yield_cost_factor/U21</f>
        <v>0.0583498078148975</v>
      </c>
      <c r="BN21" s="197" t="n">
        <f aca="false">Algae_yield_cost_factor/V21</f>
        <v>0.0555723777497793</v>
      </c>
      <c r="BO21" s="197" t="n">
        <f aca="false">Algae_yield_cost_factor/W21</f>
        <v>0.053704323854005</v>
      </c>
      <c r="BP21" s="197" t="n">
        <f aca="false">Algae_yield_cost_factor/X21</f>
        <v>0.0524945377365716</v>
      </c>
      <c r="BQ21" s="197" t="n">
        <f aca="false">Algae_yield_cost_factor/Y21</f>
        <v>0.0517301412488582</v>
      </c>
      <c r="BR21" s="197" t="n">
        <f aca="false">Algae_yield_cost_factor/Z21</f>
        <v>0.0512546619284601</v>
      </c>
      <c r="BS21" s="197" t="n">
        <f aca="false">Algae_yield_cost_factor/AA21</f>
        <v>0.0509617722576282</v>
      </c>
      <c r="BT21" s="197" t="n">
        <f aca="false">Algae_yield_cost_factor/AB21</f>
        <v>0.050782439564765</v>
      </c>
      <c r="BU21" s="197" t="n">
        <f aca="false">Algae_yield_cost_factor/AC21</f>
        <v>0.0506730412451622</v>
      </c>
    </row>
    <row r="22" customFormat="false" ht="15" hidden="false" customHeight="false" outlineLevel="0" collapsed="false">
      <c r="A22" s="18" t="s">
        <v>689</v>
      </c>
      <c r="B22" s="18" t="s">
        <v>22</v>
      </c>
      <c r="C22" s="18" t="s">
        <v>686</v>
      </c>
      <c r="D22" s="18" t="s">
        <v>686</v>
      </c>
      <c r="E22" s="28" t="n">
        <v>7.59711</v>
      </c>
      <c r="F22" s="185" t="n">
        <f aca="false">E22/$B$2*$F$3/1000</f>
        <v>0.0186129195</v>
      </c>
      <c r="G22" s="18" t="n">
        <f aca="false">LOOKUP(RIGHT(D22,5),Ref!$C$4:$C$21,Ref!$E$4:$E$21)*$G$3</f>
        <v>4.5</v>
      </c>
      <c r="H22" s="218" t="n">
        <f aca="false">$E22</f>
        <v>7.59711</v>
      </c>
      <c r="I22" s="177" t="n">
        <f aca="false">$E22</f>
        <v>7.59711</v>
      </c>
      <c r="J22" s="177" t="n">
        <f aca="false">$E22</f>
        <v>7.59711</v>
      </c>
      <c r="K22" s="177" t="n">
        <f aca="false">$E22</f>
        <v>7.59711</v>
      </c>
      <c r="L22" s="177" t="n">
        <f aca="false">$E22</f>
        <v>7.59711</v>
      </c>
      <c r="M22" s="177" t="n">
        <f aca="false">M$3*$E22</f>
        <v>7.95740957537602</v>
      </c>
      <c r="N22" s="177" t="n">
        <f aca="false">N$3*$E22</f>
        <v>8.17341293802119</v>
      </c>
      <c r="O22" s="177" t="n">
        <f aca="false">O$3*$E22</f>
        <v>8.50270771092345</v>
      </c>
      <c r="P22" s="177" t="n">
        <f aca="false">P$3*$E22</f>
        <v>8.98301677116451</v>
      </c>
      <c r="Q22" s="177" t="n">
        <f aca="false">Q$3*$E22</f>
        <v>9.6402875617042</v>
      </c>
      <c r="R22" s="177" t="n">
        <f aca="false">R$3*$E22</f>
        <v>10.4653279903331</v>
      </c>
      <c r="S22" s="177" t="n">
        <f aca="false">S$3*$E22</f>
        <v>11.395665</v>
      </c>
      <c r="T22" s="177" t="n">
        <f aca="false">T$3*$E22</f>
        <v>12.3260020096669</v>
      </c>
      <c r="U22" s="177" t="n">
        <f aca="false">U$3*$E22</f>
        <v>13.1510424382958</v>
      </c>
      <c r="V22" s="177" t="n">
        <f aca="false">V$3*$E22</f>
        <v>13.8083132288355</v>
      </c>
      <c r="W22" s="177" t="n">
        <f aca="false">W$3*$E22</f>
        <v>14.2886222890765</v>
      </c>
      <c r="X22" s="177" t="n">
        <f aca="false">X$3*$E22</f>
        <v>14.6179170619788</v>
      </c>
      <c r="Y22" s="177" t="n">
        <f aca="false">Y$3*$E22</f>
        <v>14.833920424624</v>
      </c>
      <c r="Z22" s="177" t="n">
        <f aca="false">Z$3*$E22</f>
        <v>14.9715317586366</v>
      </c>
      <c r="AA22" s="177" t="n">
        <f aca="false">AA$3*$E22</f>
        <v>15.0575767844349</v>
      </c>
      <c r="AB22" s="177" t="n">
        <f aca="false">AB$3*$E22</f>
        <v>15.1107509882717</v>
      </c>
      <c r="AC22" s="177" t="n">
        <f aca="false">AC$3*$E22</f>
        <v>15.1433736753146</v>
      </c>
      <c r="AD22" s="219" t="n">
        <f aca="false">Algae_electricity_factor/H22</f>
        <v>0.00180905595726918</v>
      </c>
      <c r="AE22" s="220" t="n">
        <f aca="false">Algae_electricity_factor/I22</f>
        <v>0.00180905595726918</v>
      </c>
      <c r="AF22" s="220" t="n">
        <f aca="false">Algae_electricity_factor/J22</f>
        <v>0.00180905595726918</v>
      </c>
      <c r="AG22" s="220" t="n">
        <f aca="false">Algae_electricity_factor/K22</f>
        <v>0.00180905595726918</v>
      </c>
      <c r="AH22" s="220" t="n">
        <f aca="false">Algae_electricity_factor/L22</f>
        <v>0.00180905595726918</v>
      </c>
      <c r="AI22" s="220" t="n">
        <f aca="false">Algae_electricity_factor/M22</f>
        <v>0.0017271446157627</v>
      </c>
      <c r="AJ22" s="220" t="n">
        <f aca="false">Algae_electricity_factor/N22</f>
        <v>0.00168150039741619</v>
      </c>
      <c r="AK22" s="220" t="n">
        <f aca="false">Algae_electricity_factor/O22</f>
        <v>0.00161637887256466</v>
      </c>
      <c r="AL22" s="220" t="n">
        <f aca="false">Algae_electricity_factor/P22</f>
        <v>0.0015299534058142</v>
      </c>
      <c r="AM22" s="220" t="n">
        <f aca="false">Algae_electricity_factor/Q22</f>
        <v>0.00142564181986908</v>
      </c>
      <c r="AN22" s="220" t="n">
        <f aca="false">Algae_electricity_factor/R22</f>
        <v>0.00131325048925598</v>
      </c>
      <c r="AO22" s="220" t="n">
        <f aca="false">Algae_electricity_factor/S22</f>
        <v>0.00120603730484612</v>
      </c>
      <c r="AP22" s="220" t="n">
        <f aca="false">Algae_electricity_factor/T22</f>
        <v>0.00111500850744228</v>
      </c>
      <c r="AQ22" s="220" t="n">
        <f aca="false">Algae_electricity_factor/U22</f>
        <v>0.00104505761942551</v>
      </c>
      <c r="AR22" s="220" t="n">
        <f aca="false">Algae_electricity_factor/V22</f>
        <v>0.000995313249038189</v>
      </c>
      <c r="AS22" s="220" t="n">
        <f aca="false">Algae_electricity_factor/W22</f>
        <v>0.000961856001612979</v>
      </c>
      <c r="AT22" s="220" t="n">
        <f aca="false">Algae_electricity_factor/X22</f>
        <v>0.000940188471808774</v>
      </c>
      <c r="AU22" s="220" t="n">
        <f aca="false">Algae_electricity_factor/Y22</f>
        <v>0.000926497966155676</v>
      </c>
      <c r="AV22" s="220" t="n">
        <f aca="false">Algae_electricity_factor/Z22</f>
        <v>0.000917982029166859</v>
      </c>
      <c r="AW22" s="220" t="n">
        <f aca="false">Algae_electricity_factor/AA22</f>
        <v>0.000912736312109402</v>
      </c>
      <c r="AX22" s="220" t="n">
        <f aca="false">Algae_electricity_factor/AB22</f>
        <v>0.000909524424973745</v>
      </c>
      <c r="AY22" s="220" t="n">
        <f aca="false">Algae_electricity_factor/AC22</f>
        <v>0.000907565077518549</v>
      </c>
      <c r="AZ22" s="221" t="n">
        <f aca="false">Algae_yield_cost_factor/H22</f>
        <v>0.100148953916189</v>
      </c>
      <c r="BA22" s="197" t="n">
        <f aca="false">Algae_yield_cost_factor/I22</f>
        <v>0.100148953916189</v>
      </c>
      <c r="BB22" s="197" t="n">
        <f aca="false">Algae_yield_cost_factor/J22</f>
        <v>0.100148953916189</v>
      </c>
      <c r="BC22" s="197" t="n">
        <f aca="false">Algae_yield_cost_factor/K22</f>
        <v>0.100148953916189</v>
      </c>
      <c r="BD22" s="197" t="n">
        <f aca="false">Algae_yield_cost_factor/L22</f>
        <v>0.100148953916189</v>
      </c>
      <c r="BE22" s="197" t="n">
        <f aca="false">Algae_yield_cost_factor/M22</f>
        <v>0.0956143594318211</v>
      </c>
      <c r="BF22" s="197" t="n">
        <f aca="false">Algae_yield_cost_factor/N22</f>
        <v>0.0930875051897745</v>
      </c>
      <c r="BG22" s="197" t="n">
        <f aca="false">Algae_yield_cost_factor/O22</f>
        <v>0.0894823913926574</v>
      </c>
      <c r="BH22" s="197" t="n">
        <f aca="false">Algae_yield_cost_factor/P22</f>
        <v>0.084697895892672</v>
      </c>
      <c r="BI22" s="197" t="n">
        <f aca="false">Algae_yield_cost_factor/Q22</f>
        <v>0.0789232286294701</v>
      </c>
      <c r="BJ22" s="197" t="n">
        <f aca="false">Algae_yield_cost_factor/R22</f>
        <v>0.0727012684159555</v>
      </c>
      <c r="BK22" s="197" t="n">
        <f aca="false">Algae_yield_cost_factor/S22</f>
        <v>0.0667659692774593</v>
      </c>
      <c r="BL22" s="197" t="n">
        <f aca="false">Algae_yield_cost_factor/T22</f>
        <v>0.0617266343693203</v>
      </c>
      <c r="BM22" s="197" t="n">
        <f aca="false">Algae_yield_cost_factor/U22</f>
        <v>0.0578541680521573</v>
      </c>
      <c r="BN22" s="197" t="n">
        <f aca="false">Algae_yield_cost_factor/V22</f>
        <v>0.055100330263176</v>
      </c>
      <c r="BO22" s="197" t="n">
        <f aca="false">Algae_yield_cost_factor/W22</f>
        <v>0.0532481441452806</v>
      </c>
      <c r="BP22" s="197" t="n">
        <f aca="false">Algae_yield_cost_factor/X22</f>
        <v>0.0520486342931284</v>
      </c>
      <c r="BQ22" s="197" t="n">
        <f aca="false">Algae_yield_cost_factor/Y22</f>
        <v>0.0512907308052722</v>
      </c>
      <c r="BR22" s="197" t="n">
        <f aca="false">Algae_yield_cost_factor/Z22</f>
        <v>0.0508192903406369</v>
      </c>
      <c r="BS22" s="197" t="n">
        <f aca="false">Algae_yield_cost_factor/AA22</f>
        <v>0.0505288885574673</v>
      </c>
      <c r="BT22" s="197" t="n">
        <f aca="false">Algae_yield_cost_factor/AB22</f>
        <v>0.0503510791671936</v>
      </c>
      <c r="BU22" s="197" t="n">
        <f aca="false">Algae_yield_cost_factor/AC22</f>
        <v>0.0502426101078438</v>
      </c>
    </row>
    <row r="23" customFormat="false" ht="15" hidden="false" customHeight="false" outlineLevel="0" collapsed="false">
      <c r="A23" s="18" t="s">
        <v>689</v>
      </c>
      <c r="B23" s="18" t="s">
        <v>22</v>
      </c>
      <c r="C23" s="18" t="s">
        <v>687</v>
      </c>
      <c r="D23" s="18" t="s">
        <v>687</v>
      </c>
      <c r="E23" s="28" t="n">
        <v>7.640545</v>
      </c>
      <c r="F23" s="185" t="n">
        <f aca="false">E23/$B$2*$F$3/1000</f>
        <v>0.01871933525</v>
      </c>
      <c r="G23" s="18" t="n">
        <f aca="false">LOOKUP(RIGHT(D23,5),Ref!$C$4:$C$21,Ref!$E$4:$E$21)*$G$3</f>
        <v>4.5</v>
      </c>
      <c r="H23" s="218" t="n">
        <f aca="false">$E23</f>
        <v>7.640545</v>
      </c>
      <c r="I23" s="177" t="n">
        <f aca="false">$E23</f>
        <v>7.640545</v>
      </c>
      <c r="J23" s="177" t="n">
        <f aca="false">$E23</f>
        <v>7.640545</v>
      </c>
      <c r="K23" s="177" t="n">
        <f aca="false">$E23</f>
        <v>7.640545</v>
      </c>
      <c r="L23" s="177" t="n">
        <f aca="false">$E23</f>
        <v>7.640545</v>
      </c>
      <c r="M23" s="177" t="n">
        <f aca="false">M$3*$E23</f>
        <v>8.00290451817749</v>
      </c>
      <c r="N23" s="177" t="n">
        <f aca="false">N$3*$E23</f>
        <v>8.22014283807041</v>
      </c>
      <c r="O23" s="177" t="n">
        <f aca="false">O$3*$E23</f>
        <v>8.55132028984148</v>
      </c>
      <c r="P23" s="177" t="n">
        <f aca="false">P$3*$E23</f>
        <v>9.03437542379104</v>
      </c>
      <c r="Q23" s="177" t="n">
        <f aca="false">Q$3*$E23</f>
        <v>9.69540403234141</v>
      </c>
      <c r="R23" s="177" t="n">
        <f aca="false">R$3*$E23</f>
        <v>10.5251614692823</v>
      </c>
      <c r="S23" s="177" t="n">
        <f aca="false">S$3*$E23</f>
        <v>11.4608175</v>
      </c>
      <c r="T23" s="177" t="n">
        <f aca="false">T$3*$E23</f>
        <v>12.3964735307177</v>
      </c>
      <c r="U23" s="177" t="n">
        <f aca="false">U$3*$E23</f>
        <v>13.2262309676586</v>
      </c>
      <c r="V23" s="177" t="n">
        <f aca="false">V$3*$E23</f>
        <v>13.887259576209</v>
      </c>
      <c r="W23" s="177" t="n">
        <f aca="false">W$3*$E23</f>
        <v>14.3703147101585</v>
      </c>
      <c r="X23" s="177" t="n">
        <f aca="false">X$3*$E23</f>
        <v>14.7014921619296</v>
      </c>
      <c r="Y23" s="177" t="n">
        <f aca="false">Y$3*$E23</f>
        <v>14.9187304818225</v>
      </c>
      <c r="Z23" s="177" t="n">
        <f aca="false">Z$3*$E23</f>
        <v>15.0571285818939</v>
      </c>
      <c r="AA23" s="177" t="n">
        <f aca="false">AA$3*$E23</f>
        <v>15.1436655534052</v>
      </c>
      <c r="AB23" s="177" t="n">
        <f aca="false">AB$3*$E23</f>
        <v>15.1971437704185</v>
      </c>
      <c r="AC23" s="177" t="n">
        <f aca="false">AC$3*$E23</f>
        <v>15.2299529713347</v>
      </c>
      <c r="AD23" s="219" t="n">
        <f aca="false">Algae_electricity_factor/H23</f>
        <v>0.00179877182891132</v>
      </c>
      <c r="AE23" s="220" t="n">
        <f aca="false">Algae_electricity_factor/I23</f>
        <v>0.00179877182891132</v>
      </c>
      <c r="AF23" s="220" t="n">
        <f aca="false">Algae_electricity_factor/J23</f>
        <v>0.00179877182891132</v>
      </c>
      <c r="AG23" s="220" t="n">
        <f aca="false">Algae_electricity_factor/K23</f>
        <v>0.00179877182891132</v>
      </c>
      <c r="AH23" s="220" t="n">
        <f aca="false">Algae_electricity_factor/L23</f>
        <v>0.00179877182891132</v>
      </c>
      <c r="AI23" s="220" t="n">
        <f aca="false">Algae_electricity_factor/M23</f>
        <v>0.00171732613731834</v>
      </c>
      <c r="AJ23" s="220" t="n">
        <f aca="false">Algae_electricity_factor/N23</f>
        <v>0.00167194139740222</v>
      </c>
      <c r="AK23" s="220" t="n">
        <f aca="false">Algae_electricity_factor/O23</f>
        <v>0.00160719007564901</v>
      </c>
      <c r="AL23" s="220" t="n">
        <f aca="false">Algae_electricity_factor/P23</f>
        <v>0.00152125592072884</v>
      </c>
      <c r="AM23" s="220" t="n">
        <f aca="false">Algae_electricity_factor/Q23</f>
        <v>0.00141753732569412</v>
      </c>
      <c r="AN23" s="220" t="n">
        <f aca="false">Algae_electricity_factor/R23</f>
        <v>0.00130578491775541</v>
      </c>
      <c r="AO23" s="220" t="n">
        <f aca="false">Algae_electricity_factor/S23</f>
        <v>0.00119918121927421</v>
      </c>
      <c r="AP23" s="220" t="n">
        <f aca="false">Algae_electricity_factor/T23</f>
        <v>0.0011086699027327</v>
      </c>
      <c r="AQ23" s="220" t="n">
        <f aca="false">Algae_electricity_factor/U23</f>
        <v>0.00103911667179681</v>
      </c>
      <c r="AR23" s="220" t="n">
        <f aca="false">Algae_electricity_factor/V23</f>
        <v>0.000989655088400175</v>
      </c>
      <c r="AS23" s="220" t="n">
        <f aca="false">Algae_electricity_factor/W23</f>
        <v>0.000956388038865549</v>
      </c>
      <c r="AT23" s="220" t="n">
        <f aca="false">Algae_electricity_factor/X23</f>
        <v>0.000934843684719238</v>
      </c>
      <c r="AU23" s="220" t="n">
        <f aca="false">Algae_electricity_factor/Y23</f>
        <v>0.000921231006906045</v>
      </c>
      <c r="AV23" s="220" t="n">
        <f aca="false">Algae_electricity_factor/Z23</f>
        <v>0.000912763481349018</v>
      </c>
      <c r="AW23" s="220" t="n">
        <f aca="false">Algae_electricity_factor/AA23</f>
        <v>0.000907547585164339</v>
      </c>
      <c r="AX23" s="220" t="n">
        <f aca="false">Algae_electricity_factor/AB23</f>
        <v>0.00090435395697719</v>
      </c>
      <c r="AY23" s="220" t="n">
        <f aca="false">Algae_electricity_factor/AC23</f>
        <v>0.000902405748028046</v>
      </c>
      <c r="AZ23" s="221" t="n">
        <f aca="false">Algae_yield_cost_factor/H23</f>
        <v>0.0995796267525704</v>
      </c>
      <c r="BA23" s="197" t="n">
        <f aca="false">Algae_yield_cost_factor/I23</f>
        <v>0.0995796267525704</v>
      </c>
      <c r="BB23" s="197" t="n">
        <f aca="false">Algae_yield_cost_factor/J23</f>
        <v>0.0995796267525704</v>
      </c>
      <c r="BC23" s="197" t="n">
        <f aca="false">Algae_yield_cost_factor/K23</f>
        <v>0.0995796267525704</v>
      </c>
      <c r="BD23" s="197" t="n">
        <f aca="false">Algae_yield_cost_factor/L23</f>
        <v>0.0995796267525704</v>
      </c>
      <c r="BE23" s="197" t="n">
        <f aca="false">Algae_yield_cost_factor/M23</f>
        <v>0.0950708105486038</v>
      </c>
      <c r="BF23" s="197" t="n">
        <f aca="false">Algae_yield_cost_factor/N23</f>
        <v>0.0925583209774025</v>
      </c>
      <c r="BG23" s="197" t="n">
        <f aca="false">Algae_yield_cost_factor/O23</f>
        <v>0.0889737015452525</v>
      </c>
      <c r="BH23" s="197" t="n">
        <f aca="false">Algae_yield_cost_factor/P23</f>
        <v>0.0842164049639361</v>
      </c>
      <c r="BI23" s="197" t="n">
        <f aca="false">Algae_yield_cost_factor/Q23</f>
        <v>0.0784745655517026</v>
      </c>
      <c r="BJ23" s="197" t="n">
        <f aca="false">Algae_yield_cost_factor/R23</f>
        <v>0.072287975961864</v>
      </c>
      <c r="BK23" s="197" t="n">
        <f aca="false">Algae_yield_cost_factor/S23</f>
        <v>0.0663864178350469</v>
      </c>
      <c r="BL23" s="197" t="n">
        <f aca="false">Algae_yield_cost_factor/T23</f>
        <v>0.0613757305576379</v>
      </c>
      <c r="BM23" s="197" t="n">
        <f aca="false">Algae_yield_cost_factor/U23</f>
        <v>0.0575252784520901</v>
      </c>
      <c r="BN23" s="197" t="n">
        <f aca="false">Algae_yield_cost_factor/V23</f>
        <v>0.0547870956909065</v>
      </c>
      <c r="BO23" s="197" t="n">
        <f aca="false">Algae_yield_cost_factor/W23</f>
        <v>0.0529454388878742</v>
      </c>
      <c r="BP23" s="197" t="n">
        <f aca="false">Algae_yield_cost_factor/X23</f>
        <v>0.0517527480140054</v>
      </c>
      <c r="BQ23" s="197" t="n">
        <f aca="false">Algae_yield_cost_factor/Y23</f>
        <v>0.0509991530588514</v>
      </c>
      <c r="BR23" s="197" t="n">
        <f aca="false">Algae_yield_cost_factor/Z23</f>
        <v>0.0505303926408072</v>
      </c>
      <c r="BS23" s="197" t="n">
        <f aca="false">Algae_yield_cost_factor/AA23</f>
        <v>0.0502416417348266</v>
      </c>
      <c r="BT23" s="197" t="n">
        <f aca="false">Algae_yield_cost_factor/AB23</f>
        <v>0.0500648431560679</v>
      </c>
      <c r="BU23" s="197" t="n">
        <f aca="false">Algae_yield_cost_factor/AC23</f>
        <v>0.0499569907220495</v>
      </c>
    </row>
    <row r="24" customFormat="false" ht="15" hidden="false" customHeight="false" outlineLevel="0" collapsed="false">
      <c r="A24" s="18" t="s">
        <v>689</v>
      </c>
      <c r="B24" s="18" t="s">
        <v>22</v>
      </c>
      <c r="C24" s="18" t="s">
        <v>688</v>
      </c>
      <c r="D24" s="18" t="s">
        <v>688</v>
      </c>
      <c r="E24" s="28" t="n">
        <v>7.493304</v>
      </c>
      <c r="F24" s="185" t="n">
        <f aca="false">E24/$B$2*$F$3/1000</f>
        <v>0.0183585948</v>
      </c>
      <c r="G24" s="18" t="n">
        <f aca="false">LOOKUP(RIGHT(D24,5),Ref!$C$4:$C$21,Ref!$E$4:$E$21)*$G$3</f>
        <v>4.5</v>
      </c>
      <c r="H24" s="218" t="n">
        <f aca="false">$E24</f>
        <v>7.493304</v>
      </c>
      <c r="I24" s="177" t="n">
        <f aca="false">$E24</f>
        <v>7.493304</v>
      </c>
      <c r="J24" s="177" t="n">
        <f aca="false">$E24</f>
        <v>7.493304</v>
      </c>
      <c r="K24" s="177" t="n">
        <f aca="false">$E24</f>
        <v>7.493304</v>
      </c>
      <c r="L24" s="177" t="n">
        <f aca="false">$E24</f>
        <v>7.493304</v>
      </c>
      <c r="M24" s="177" t="n">
        <f aca="false">M$3*$E24</f>
        <v>7.84868048518495</v>
      </c>
      <c r="N24" s="177" t="n">
        <f aca="false">N$3*$E24</f>
        <v>8.0617324037859</v>
      </c>
      <c r="O24" s="177" t="n">
        <f aca="false">O$3*$E24</f>
        <v>8.38652773240002</v>
      </c>
      <c r="P24" s="177" t="n">
        <f aca="false">P$3*$E24</f>
        <v>8.86027390724027</v>
      </c>
      <c r="Q24" s="177" t="n">
        <f aca="false">Q$3*$E24</f>
        <v>9.50856382851747</v>
      </c>
      <c r="R24" s="177" t="n">
        <f aca="false">R$3*$E24</f>
        <v>10.3223310036678</v>
      </c>
      <c r="S24" s="177" t="n">
        <f aca="false">S$3*$E24</f>
        <v>11.239956</v>
      </c>
      <c r="T24" s="177" t="n">
        <f aca="false">T$3*$E24</f>
        <v>12.1575809963322</v>
      </c>
      <c r="U24" s="177" t="n">
        <f aca="false">U$3*$E24</f>
        <v>12.9713481714825</v>
      </c>
      <c r="V24" s="177" t="n">
        <f aca="false">V$3*$E24</f>
        <v>13.6196380927597</v>
      </c>
      <c r="W24" s="177" t="n">
        <f aca="false">W$3*$E24</f>
        <v>14.0933842676</v>
      </c>
      <c r="X24" s="177" t="n">
        <f aca="false">X$3*$E24</f>
        <v>14.4181795962141</v>
      </c>
      <c r="Y24" s="177" t="n">
        <f aca="false">Y$3*$E24</f>
        <v>14.631231514815</v>
      </c>
      <c r="Z24" s="177" t="n">
        <f aca="false">Z$3*$E24</f>
        <v>14.7669625440619</v>
      </c>
      <c r="AA24" s="177" t="n">
        <f aca="false">AA$3*$E24</f>
        <v>14.8518318609462</v>
      </c>
      <c r="AB24" s="177" t="n">
        <f aca="false">AB$3*$E24</f>
        <v>14.9042794988384</v>
      </c>
      <c r="AC24" s="177" t="n">
        <f aca="false">AC$3*$E24</f>
        <v>14.9364564333977</v>
      </c>
      <c r="AD24" s="219" t="n">
        <f aca="false">Algae_electricity_factor/H24</f>
        <v>0.00183411711356289</v>
      </c>
      <c r="AE24" s="220" t="n">
        <f aca="false">Algae_electricity_factor/I24</f>
        <v>0.00183411711356289</v>
      </c>
      <c r="AF24" s="220" t="n">
        <f aca="false">Algae_electricity_factor/J24</f>
        <v>0.00183411711356289</v>
      </c>
      <c r="AG24" s="220" t="n">
        <f aca="false">Algae_electricity_factor/K24</f>
        <v>0.00183411711356289</v>
      </c>
      <c r="AH24" s="220" t="n">
        <f aca="false">Algae_electricity_factor/L24</f>
        <v>0.00183411711356289</v>
      </c>
      <c r="AI24" s="220" t="n">
        <f aca="false">Algae_electricity_factor/M24</f>
        <v>0.00175107104047253</v>
      </c>
      <c r="AJ24" s="220" t="n">
        <f aca="false">Algae_electricity_factor/N24</f>
        <v>0.00170479450509608</v>
      </c>
      <c r="AK24" s="220" t="n">
        <f aca="false">Algae_electricity_factor/O24</f>
        <v>0.0016387708408133</v>
      </c>
      <c r="AL24" s="220" t="n">
        <f aca="false">Algae_electricity_factor/P24</f>
        <v>0.0015511481075431</v>
      </c>
      <c r="AM24" s="220" t="n">
        <f aca="false">Algae_electricity_factor/Q24</f>
        <v>0.00144539147566222</v>
      </c>
      <c r="AN24" s="220" t="n">
        <f aca="false">Algae_electricity_factor/R24</f>
        <v>0.0013314431690522</v>
      </c>
      <c r="AO24" s="220" t="n">
        <f aca="false">Algae_electricity_factor/S24</f>
        <v>0.00122274474237526</v>
      </c>
      <c r="AP24" s="220" t="n">
        <f aca="false">Algae_electricity_factor/T24</f>
        <v>0.00113045490773827</v>
      </c>
      <c r="AQ24" s="220" t="n">
        <f aca="false">Algae_electricity_factor/U24</f>
        <v>0.00105953497831047</v>
      </c>
      <c r="AR24" s="220" t="n">
        <f aca="false">Algae_electricity_factor/V24</f>
        <v>0.00100910149079772</v>
      </c>
      <c r="AS24" s="220" t="n">
        <f aca="false">Algae_electricity_factor/W24</f>
        <v>0.000975180754499481</v>
      </c>
      <c r="AT24" s="220" t="n">
        <f aca="false">Algae_electricity_factor/X24</f>
        <v>0.000953213060762402</v>
      </c>
      <c r="AU24" s="220" t="n">
        <f aca="false">Algae_electricity_factor/Y24</f>
        <v>0.000939332898233002</v>
      </c>
      <c r="AV24" s="220" t="n">
        <f aca="false">Algae_electricity_factor/Z24</f>
        <v>0.000930698988537477</v>
      </c>
      <c r="AW24" s="220" t="n">
        <f aca="false">Algae_electricity_factor/AA24</f>
        <v>0.000925380601679775</v>
      </c>
      <c r="AX24" s="220" t="n">
        <f aca="false">Algae_electricity_factor/AB24</f>
        <v>0.000922124219731681</v>
      </c>
      <c r="AY24" s="220" t="n">
        <f aca="false">Algae_electricity_factor/AC24</f>
        <v>0.000920137729106806</v>
      </c>
      <c r="AZ24" s="221" t="n">
        <f aca="false">Algae_yield_cost_factor/H24</f>
        <v>0.101536334210679</v>
      </c>
      <c r="BA24" s="197" t="n">
        <f aca="false">Algae_yield_cost_factor/I24</f>
        <v>0.101536334210679</v>
      </c>
      <c r="BB24" s="197" t="n">
        <f aca="false">Algae_yield_cost_factor/J24</f>
        <v>0.101536334210679</v>
      </c>
      <c r="BC24" s="197" t="n">
        <f aca="false">Algae_yield_cost_factor/K24</f>
        <v>0.101536334210679</v>
      </c>
      <c r="BD24" s="197" t="n">
        <f aca="false">Algae_yield_cost_factor/L24</f>
        <v>0.101536334210679</v>
      </c>
      <c r="BE24" s="197" t="n">
        <f aca="false">Algae_yield_cost_factor/M24</f>
        <v>0.0969389212266154</v>
      </c>
      <c r="BF24" s="197" t="n">
        <f aca="false">Algae_yield_cost_factor/N24</f>
        <v>0.0943770620479682</v>
      </c>
      <c r="BG24" s="197" t="n">
        <f aca="false">Algae_yield_cost_factor/O24</f>
        <v>0.0907220060033693</v>
      </c>
      <c r="BH24" s="197" t="n">
        <f aca="false">Algae_yield_cost_factor/P24</f>
        <v>0.0858712300829083</v>
      </c>
      <c r="BI24" s="197" t="n">
        <f aca="false">Algae_yield_cost_factor/Q24</f>
        <v>0.0800165653833387</v>
      </c>
      <c r="BJ24" s="197" t="n">
        <f aca="false">Algae_yield_cost_factor/R24</f>
        <v>0.073708411309022</v>
      </c>
      <c r="BK24" s="197" t="n">
        <f aca="false">Algae_yield_cost_factor/S24</f>
        <v>0.067690889473786</v>
      </c>
      <c r="BL24" s="197" t="n">
        <f aca="false">Algae_yield_cost_factor/T24</f>
        <v>0.0625817438120097</v>
      </c>
      <c r="BM24" s="197" t="n">
        <f aca="false">Algae_yield_cost_factor/U24</f>
        <v>0.0586556315679605</v>
      </c>
      <c r="BN24" s="197" t="n">
        <f aca="false">Algae_yield_cost_factor/V24</f>
        <v>0.055863644401145</v>
      </c>
      <c r="BO24" s="197" t="n">
        <f aca="false">Algae_yield_cost_factor/W24</f>
        <v>0.0539857996375902</v>
      </c>
      <c r="BP24" s="197" t="n">
        <f aca="false">Algae_yield_cost_factor/X24</f>
        <v>0.0527696727738083</v>
      </c>
      <c r="BQ24" s="197" t="n">
        <f aca="false">Algae_yield_cost_factor/Y24</f>
        <v>0.0520012699215248</v>
      </c>
      <c r="BR24" s="197" t="n">
        <f aca="false">Algae_yield_cost_factor/Z24</f>
        <v>0.0515232985128798</v>
      </c>
      <c r="BS24" s="197" t="n">
        <f aca="false">Algae_yield_cost_factor/AA24</f>
        <v>0.0512288737449889</v>
      </c>
      <c r="BT24" s="197" t="n">
        <f aca="false">Algae_yield_cost_factor/AB24</f>
        <v>0.0510486011313405</v>
      </c>
      <c r="BU24" s="197" t="n">
        <f aca="false">Algae_yield_cost_factor/AC24</f>
        <v>0.050938629431877</v>
      </c>
    </row>
    <row r="25" customFormat="false" ht="15" hidden="false" customHeight="false" outlineLevel="0" collapsed="false">
      <c r="A25" s="18" t="s">
        <v>695</v>
      </c>
      <c r="B25" s="18" t="s">
        <v>22</v>
      </c>
      <c r="C25" s="18" t="s">
        <v>690</v>
      </c>
      <c r="D25" s="18" t="s">
        <v>690</v>
      </c>
      <c r="E25" s="28" t="n">
        <v>7.74384</v>
      </c>
      <c r="F25" s="185" t="n">
        <f aca="false">E25/$B$2*$F$3/1000</f>
        <v>0.018972408</v>
      </c>
      <c r="G25" s="18" t="n">
        <f aca="false">LOOKUP(RIGHT(D25,5),Ref!$C$4:$C$21,Ref!$E$4:$E$21)*$G$3</f>
        <v>1.5</v>
      </c>
      <c r="H25" s="218" t="n">
        <f aca="false">$E25</f>
        <v>7.74384</v>
      </c>
      <c r="I25" s="177" t="n">
        <f aca="false">$E25</f>
        <v>7.74384</v>
      </c>
      <c r="J25" s="177" t="n">
        <f aca="false">$E25</f>
        <v>7.74384</v>
      </c>
      <c r="K25" s="177" t="n">
        <f aca="false">$E25</f>
        <v>7.74384</v>
      </c>
      <c r="L25" s="177" t="n">
        <f aca="false">$E25</f>
        <v>7.74384</v>
      </c>
      <c r="M25" s="177" t="n">
        <f aca="false">M$3*$E25</f>
        <v>8.11109837374737</v>
      </c>
      <c r="N25" s="177" t="n">
        <f aca="false">N$3*$E25</f>
        <v>8.33127360877571</v>
      </c>
      <c r="O25" s="177" t="n">
        <f aca="false">O$3*$E25</f>
        <v>8.66692835567175</v>
      </c>
      <c r="P25" s="177" t="n">
        <f aca="false">P$3*$E25</f>
        <v>9.15651406827261</v>
      </c>
      <c r="Q25" s="177" t="n">
        <f aca="false">Q$3*$E25</f>
        <v>9.82647933646182</v>
      </c>
      <c r="R25" s="177" t="n">
        <f aca="false">R$3*$E25</f>
        <v>10.6674545326658</v>
      </c>
      <c r="S25" s="177" t="n">
        <f aca="false">S$3*$E25</f>
        <v>11.61576</v>
      </c>
      <c r="T25" s="177" t="n">
        <f aca="false">T$3*$E25</f>
        <v>12.5640654673342</v>
      </c>
      <c r="U25" s="177" t="n">
        <f aca="false">U$3*$E25</f>
        <v>13.4050406635382</v>
      </c>
      <c r="V25" s="177" t="n">
        <f aca="false">V$3*$E25</f>
        <v>14.0750059317274</v>
      </c>
      <c r="W25" s="177" t="n">
        <f aca="false">W$3*$E25</f>
        <v>14.5645916443282</v>
      </c>
      <c r="X25" s="177" t="n">
        <f aca="false">X$3*$E25</f>
        <v>14.9002463912243</v>
      </c>
      <c r="Y25" s="177" t="n">
        <f aca="false">Y$3*$E25</f>
        <v>15.1204216262526</v>
      </c>
      <c r="Z25" s="177" t="n">
        <f aca="false">Z$3*$E25</f>
        <v>15.2606907750184</v>
      </c>
      <c r="AA25" s="177" t="n">
        <f aca="false">AA$3*$E25</f>
        <v>15.3483976678472</v>
      </c>
      <c r="AB25" s="177" t="n">
        <f aca="false">AB$3*$E25</f>
        <v>15.4025988741795</v>
      </c>
      <c r="AC25" s="177" t="n">
        <f aca="false">AC$3*$E25</f>
        <v>15.4358516332985</v>
      </c>
      <c r="AD25" s="219" t="n">
        <f aca="false">Algae_electricity_factor/H25</f>
        <v>0.00177477803047703</v>
      </c>
      <c r="AE25" s="220" t="n">
        <f aca="false">Algae_electricity_factor/I25</f>
        <v>0.00177477803047703</v>
      </c>
      <c r="AF25" s="220" t="n">
        <f aca="false">Algae_electricity_factor/J25</f>
        <v>0.00177477803047703</v>
      </c>
      <c r="AG25" s="220" t="n">
        <f aca="false">Algae_electricity_factor/K25</f>
        <v>0.00177477803047703</v>
      </c>
      <c r="AH25" s="220" t="n">
        <f aca="false">Algae_electricity_factor/L25</f>
        <v>0.00177477803047703</v>
      </c>
      <c r="AI25" s="220" t="n">
        <f aca="false">Algae_electricity_factor/M25</f>
        <v>0.0016944187421043</v>
      </c>
      <c r="AJ25" s="220" t="n">
        <f aca="false">Algae_electricity_factor/N25</f>
        <v>0.00164963938875474</v>
      </c>
      <c r="AK25" s="220" t="n">
        <f aca="false">Algae_electricity_factor/O25</f>
        <v>0.00158575178419875</v>
      </c>
      <c r="AL25" s="220" t="n">
        <f aca="false">Algae_electricity_factor/P25</f>
        <v>0.00150096390406377</v>
      </c>
      <c r="AM25" s="220" t="n">
        <f aca="false">Algae_electricity_factor/Q25</f>
        <v>0.00139862881027315</v>
      </c>
      <c r="AN25" s="220" t="n">
        <f aca="false">Algae_electricity_factor/R25</f>
        <v>0.00128836706652404</v>
      </c>
      <c r="AO25" s="220" t="n">
        <f aca="false">Algae_electricity_factor/S25</f>
        <v>0.00118318535365135</v>
      </c>
      <c r="AP25" s="220" t="n">
        <f aca="false">Algae_electricity_factor/T25</f>
        <v>0.00109388136660556</v>
      </c>
      <c r="AQ25" s="220" t="n">
        <f aca="false">Algae_electricity_factor/U25</f>
        <v>0.00102525590548278</v>
      </c>
      <c r="AR25" s="220" t="n">
        <f aca="false">Algae_electricity_factor/V25</f>
        <v>0.000976454089624852</v>
      </c>
      <c r="AS25" s="220" t="n">
        <f aca="false">Algae_electricity_factor/W25</f>
        <v>0.000943630788912733</v>
      </c>
      <c r="AT25" s="220" t="n">
        <f aca="false">Algae_electricity_factor/X25</f>
        <v>0.000922373814678913</v>
      </c>
      <c r="AU25" s="220" t="n">
        <f aca="false">Algae_electricity_factor/Y25</f>
        <v>0.000908942716231346</v>
      </c>
      <c r="AV25" s="220" t="n">
        <f aca="false">Algae_electricity_factor/Z25</f>
        <v>0.000900588138908324</v>
      </c>
      <c r="AW25" s="220" t="n">
        <f aca="false">Algae_electricity_factor/AA25</f>
        <v>0.000895441817507782</v>
      </c>
      <c r="AX25" s="220" t="n">
        <f aca="false">Algae_electricity_factor/AB25</f>
        <v>0.000892290789093303</v>
      </c>
      <c r="AY25" s="220" t="n">
        <f aca="false">Algae_electricity_factor/AC25</f>
        <v>0.000890368567282762</v>
      </c>
      <c r="AZ25" s="221" t="n">
        <f aca="false">Algae_yield_cost_factor/H25</f>
        <v>0.0982513351626865</v>
      </c>
      <c r="BA25" s="197" t="n">
        <f aca="false">Algae_yield_cost_factor/I25</f>
        <v>0.0982513351626865</v>
      </c>
      <c r="BB25" s="197" t="n">
        <f aca="false">Algae_yield_cost_factor/J25</f>
        <v>0.0982513351626865</v>
      </c>
      <c r="BC25" s="197" t="n">
        <f aca="false">Algae_yield_cost_factor/K25</f>
        <v>0.0982513351626865</v>
      </c>
      <c r="BD25" s="197" t="n">
        <f aca="false">Algae_yield_cost_factor/L25</f>
        <v>0.0982513351626865</v>
      </c>
      <c r="BE25" s="197" t="n">
        <f aca="false">Algae_yield_cost_factor/M25</f>
        <v>0.0938026620104602</v>
      </c>
      <c r="BF25" s="197" t="n">
        <f aca="false">Algae_yield_cost_factor/N25</f>
        <v>0.0913236865111221</v>
      </c>
      <c r="BG25" s="197" t="n">
        <f aca="false">Algae_yield_cost_factor/O25</f>
        <v>0.0877868822797309</v>
      </c>
      <c r="BH25" s="197" t="n">
        <f aca="false">Algae_yield_cost_factor/P25</f>
        <v>0.0830930432272848</v>
      </c>
      <c r="BI25" s="197" t="n">
        <f aca="false">Algae_yield_cost_factor/Q25</f>
        <v>0.0774277941503484</v>
      </c>
      <c r="BJ25" s="197" t="n">
        <f aca="false">Algae_yield_cost_factor/R25</f>
        <v>0.0713237274137301</v>
      </c>
      <c r="BK25" s="197" t="n">
        <f aca="false">Algae_yield_cost_factor/S25</f>
        <v>0.0655008901084576</v>
      </c>
      <c r="BL25" s="197" t="n">
        <f aca="false">Algae_yield_cost_factor/T25</f>
        <v>0.0605570403357388</v>
      </c>
      <c r="BM25" s="197" t="n">
        <f aca="false">Algae_yield_cost_factor/U25</f>
        <v>0.0567579493701736</v>
      </c>
      <c r="BN25" s="197" t="n">
        <f aca="false">Algae_yield_cost_factor/V25</f>
        <v>0.0540562911999314</v>
      </c>
      <c r="BO25" s="197" t="n">
        <f aca="false">Algae_yield_cost_factor/W25</f>
        <v>0.0522392002375505</v>
      </c>
      <c r="BP25" s="197" t="n">
        <f aca="false">Algae_yield_cost_factor/X25</f>
        <v>0.0510624186546557</v>
      </c>
      <c r="BQ25" s="197" t="n">
        <f aca="false">Algae_yield_cost_factor/Y25</f>
        <v>0.050318875894652</v>
      </c>
      <c r="BR25" s="197" t="n">
        <f aca="false">Algae_yield_cost_factor/Z25</f>
        <v>0.0498563682668748</v>
      </c>
      <c r="BS25" s="197" t="n">
        <f aca="false">Algae_yield_cost_factor/AA25</f>
        <v>0.0495714690061805</v>
      </c>
      <c r="BT25" s="197" t="n">
        <f aca="false">Algae_yield_cost_factor/AB25</f>
        <v>0.0493970287417972</v>
      </c>
      <c r="BU25" s="197" t="n">
        <f aca="false">Algae_yield_cost_factor/AC25</f>
        <v>0.0492906149502574</v>
      </c>
    </row>
    <row r="26" customFormat="false" ht="15" hidden="false" customHeight="false" outlineLevel="0" collapsed="false">
      <c r="A26" s="18" t="s">
        <v>695</v>
      </c>
      <c r="B26" s="18" t="s">
        <v>22</v>
      </c>
      <c r="C26" s="18" t="s">
        <v>691</v>
      </c>
      <c r="D26" s="18" t="s">
        <v>691</v>
      </c>
      <c r="E26" s="28" t="n">
        <v>6.98370925</v>
      </c>
      <c r="F26" s="185" t="n">
        <f aca="false">E26/$B$2*$F$3/1000</f>
        <v>0.0171100876625</v>
      </c>
      <c r="G26" s="18" t="n">
        <f aca="false">LOOKUP(RIGHT(D26,5),Ref!$C$4:$C$21,Ref!$E$4:$E$21)*$G$3</f>
        <v>2</v>
      </c>
      <c r="H26" s="218" t="n">
        <f aca="false">$E26</f>
        <v>6.98370925</v>
      </c>
      <c r="I26" s="177" t="n">
        <f aca="false">$E26</f>
        <v>6.98370925</v>
      </c>
      <c r="J26" s="177" t="n">
        <f aca="false">$E26</f>
        <v>6.98370925</v>
      </c>
      <c r="K26" s="177" t="n">
        <f aca="false">$E26</f>
        <v>6.98370925</v>
      </c>
      <c r="L26" s="177" t="n">
        <f aca="false">$E26</f>
        <v>6.98370925</v>
      </c>
      <c r="M26" s="177" t="n">
        <f aca="false">M$3*$E26</f>
        <v>7.3149177591995</v>
      </c>
      <c r="N26" s="177" t="n">
        <f aca="false">N$3*$E26</f>
        <v>7.51348072350252</v>
      </c>
      <c r="O26" s="177" t="n">
        <f aca="false">O$3*$E26</f>
        <v>7.81618779915289</v>
      </c>
      <c r="P26" s="177" t="n">
        <f aca="false">P$3*$E26</f>
        <v>8.25771606804255</v>
      </c>
      <c r="Q26" s="177" t="n">
        <f aca="false">Q$3*$E26</f>
        <v>8.86191794212978</v>
      </c>
      <c r="R26" s="177" t="n">
        <f aca="false">R$3*$E26</f>
        <v>9.6203435109368</v>
      </c>
      <c r="S26" s="177" t="n">
        <f aca="false">S$3*$E26</f>
        <v>10.475563875</v>
      </c>
      <c r="T26" s="177" t="n">
        <f aca="false">T$3*$E26</f>
        <v>11.3307842390632</v>
      </c>
      <c r="U26" s="177" t="n">
        <f aca="false">U$3*$E26</f>
        <v>12.0892098078702</v>
      </c>
      <c r="V26" s="177" t="n">
        <f aca="false">V$3*$E26</f>
        <v>12.6934116819575</v>
      </c>
      <c r="W26" s="177" t="n">
        <f aca="false">W$3*$E26</f>
        <v>13.1349399508471</v>
      </c>
      <c r="X26" s="177" t="n">
        <f aca="false">X$3*$E26</f>
        <v>13.4376470264975</v>
      </c>
      <c r="Y26" s="177" t="n">
        <f aca="false">Y$3*$E26</f>
        <v>13.6362099908005</v>
      </c>
      <c r="Z26" s="177" t="n">
        <f aca="false">Z$3*$E26</f>
        <v>13.7627104029636</v>
      </c>
      <c r="AA26" s="177" t="n">
        <f aca="false">AA$3*$E26</f>
        <v>13.8418080391153</v>
      </c>
      <c r="AB26" s="177" t="n">
        <f aca="false">AB$3*$E26</f>
        <v>13.8906888871215</v>
      </c>
      <c r="AC26" s="177" t="n">
        <f aca="false">AC$3*$E26</f>
        <v>13.9206775750912</v>
      </c>
      <c r="AD26" s="219" t="n">
        <f aca="false">Algae_electricity_factor/H26</f>
        <v>0.00196795092858845</v>
      </c>
      <c r="AE26" s="220" t="n">
        <f aca="false">Algae_electricity_factor/I26</f>
        <v>0.00196795092858845</v>
      </c>
      <c r="AF26" s="220" t="n">
        <f aca="false">Algae_electricity_factor/J26</f>
        <v>0.00196795092858845</v>
      </c>
      <c r="AG26" s="220" t="n">
        <f aca="false">Algae_electricity_factor/K26</f>
        <v>0.00196795092858845</v>
      </c>
      <c r="AH26" s="220" t="n">
        <f aca="false">Algae_electricity_factor/L26</f>
        <v>0.00196795092858845</v>
      </c>
      <c r="AI26" s="220" t="n">
        <f aca="false">Algae_electricity_factor/M26</f>
        <v>0.00187884506100493</v>
      </c>
      <c r="AJ26" s="220" t="n">
        <f aca="false">Algae_electricity_factor/N26</f>
        <v>0.00182919177000596</v>
      </c>
      <c r="AK26" s="220" t="n">
        <f aca="false">Algae_electricity_factor/O26</f>
        <v>0.00175835042052326</v>
      </c>
      <c r="AL26" s="220" t="n">
        <f aca="false">Algae_electricity_factor/P26</f>
        <v>0.0016643339381354</v>
      </c>
      <c r="AM26" s="220" t="n">
        <f aca="false">Algae_electricity_factor/Q26</f>
        <v>0.00155086034346943</v>
      </c>
      <c r="AN26" s="220" t="n">
        <f aca="false">Algae_electricity_factor/R26</f>
        <v>0.00142859733521001</v>
      </c>
      <c r="AO26" s="220" t="n">
        <f aca="false">Algae_electricity_factor/S26</f>
        <v>0.00131196728572563</v>
      </c>
      <c r="AP26" s="220" t="n">
        <f aca="false">Algae_electricity_factor/T26</f>
        <v>0.00121294314793744</v>
      </c>
      <c r="AQ26" s="220" t="n">
        <f aca="false">Algae_electricity_factor/U26</f>
        <v>0.00113684825740902</v>
      </c>
      <c r="AR26" s="220" t="n">
        <f aca="false">Algae_electricity_factor/V26</f>
        <v>0.00108273468535371</v>
      </c>
      <c r="AS26" s="220" t="n">
        <f aca="false">Algae_electricity_factor/W26</f>
        <v>0.00104633878456695</v>
      </c>
      <c r="AT26" s="220" t="n">
        <f aca="false">Algae_electricity_factor/X26</f>
        <v>0.00102276812870799</v>
      </c>
      <c r="AU26" s="220" t="n">
        <f aca="false">Algae_electricity_factor/Y26</f>
        <v>0.00100787514366537</v>
      </c>
      <c r="AV26" s="220" t="n">
        <f aca="false">Algae_electricity_factor/Z26</f>
        <v>0.000998611225632544</v>
      </c>
      <c r="AW26" s="220" t="n">
        <f aca="false">Algae_electricity_factor/AA26</f>
        <v>0.000992904761046497</v>
      </c>
      <c r="AX26" s="220" t="n">
        <f aca="false">Algae_electricity_factor/AB26</f>
        <v>0.000989410763945003</v>
      </c>
      <c r="AY26" s="220" t="n">
        <f aca="false">Algae_electricity_factor/AC26</f>
        <v>0.000987279320952106</v>
      </c>
      <c r="AZ26" s="221" t="n">
        <f aca="false">Algae_yield_cost_factor/H26</f>
        <v>0.108945345811213</v>
      </c>
      <c r="BA26" s="197" t="n">
        <f aca="false">Algae_yield_cost_factor/I26</f>
        <v>0.108945345811213</v>
      </c>
      <c r="BB26" s="197" t="n">
        <f aca="false">Algae_yield_cost_factor/J26</f>
        <v>0.108945345811213</v>
      </c>
      <c r="BC26" s="197" t="n">
        <f aca="false">Algae_yield_cost_factor/K26</f>
        <v>0.108945345811213</v>
      </c>
      <c r="BD26" s="197" t="n">
        <f aca="false">Algae_yield_cost_factor/L26</f>
        <v>0.108945345811213</v>
      </c>
      <c r="BE26" s="197" t="n">
        <f aca="false">Algae_yield_cost_factor/M26</f>
        <v>0.104012463889885</v>
      </c>
      <c r="BF26" s="197" t="n">
        <f aca="false">Algae_yield_cost_factor/N26</f>
        <v>0.101263668236516</v>
      </c>
      <c r="BG26" s="197" t="n">
        <f aca="false">Algae_yield_cost_factor/O26</f>
        <v>0.0973419061615532</v>
      </c>
      <c r="BH26" s="197" t="n">
        <f aca="false">Algae_yield_cost_factor/P26</f>
        <v>0.0921371736466802</v>
      </c>
      <c r="BI26" s="197" t="n">
        <f aca="false">Algae_yield_cost_factor/Q26</f>
        <v>0.0858552995248526</v>
      </c>
      <c r="BJ26" s="197" t="n">
        <f aca="false">Algae_yield_cost_factor/R26</f>
        <v>0.0790868453315894</v>
      </c>
      <c r="BK26" s="197" t="n">
        <f aca="false">Algae_yield_cost_factor/S26</f>
        <v>0.0726302305408087</v>
      </c>
      <c r="BL26" s="197" t="n">
        <f aca="false">Algae_yield_cost_factor/T26</f>
        <v>0.067148275285588</v>
      </c>
      <c r="BM26" s="197" t="n">
        <f aca="false">Algae_yield_cost_factor/U26</f>
        <v>0.0629356782931255</v>
      </c>
      <c r="BN26" s="197" t="n">
        <f aca="false">Algae_yield_cost_factor/V26</f>
        <v>0.0599399624269405</v>
      </c>
      <c r="BO26" s="197" t="n">
        <f aca="false">Algae_yield_cost_factor/W26</f>
        <v>0.0579250930825267</v>
      </c>
      <c r="BP26" s="197" t="n">
        <f aca="false">Algae_yield_cost_factor/X26</f>
        <v>0.0566202265758227</v>
      </c>
      <c r="BQ26" s="197" t="n">
        <f aca="false">Algae_yield_cost_factor/Y26</f>
        <v>0.0557957540841268</v>
      </c>
      <c r="BR26" s="197" t="n">
        <f aca="false">Algae_yield_cost_factor/Z26</f>
        <v>0.0552829055476151</v>
      </c>
      <c r="BS26" s="197" t="n">
        <f aca="false">Algae_yield_cost_factor/AA26</f>
        <v>0.0549669968790325</v>
      </c>
      <c r="BT26" s="197" t="n">
        <f aca="false">Algae_yield_cost_factor/AB26</f>
        <v>0.0547735699409134</v>
      </c>
      <c r="BU26" s="197" t="n">
        <f aca="false">Algae_yield_cost_factor/AC26</f>
        <v>0.0546555737091147</v>
      </c>
    </row>
    <row r="27" customFormat="false" ht="15" hidden="false" customHeight="false" outlineLevel="0" collapsed="false">
      <c r="A27" s="18" t="s">
        <v>695</v>
      </c>
      <c r="B27" s="18" t="s">
        <v>22</v>
      </c>
      <c r="C27" s="18" t="s">
        <v>693</v>
      </c>
      <c r="D27" s="18" t="s">
        <v>693</v>
      </c>
      <c r="E27" s="28" t="n">
        <v>6.88536</v>
      </c>
      <c r="F27" s="185" t="n">
        <f aca="false">E27/$B$2*$F$3/1000</f>
        <v>0.016869132</v>
      </c>
      <c r="G27" s="18" t="n">
        <f aca="false">LOOKUP(RIGHT(D27,5),Ref!$C$4:$C$21,Ref!$E$4:$E$21)*$G$3</f>
        <v>3</v>
      </c>
      <c r="H27" s="218" t="n">
        <f aca="false">$E27</f>
        <v>6.88536</v>
      </c>
      <c r="I27" s="177" t="n">
        <f aca="false">$E27</f>
        <v>6.88536</v>
      </c>
      <c r="J27" s="177" t="n">
        <f aca="false">$E27</f>
        <v>6.88536</v>
      </c>
      <c r="K27" s="177" t="n">
        <f aca="false">$E27</f>
        <v>6.88536</v>
      </c>
      <c r="L27" s="177" t="n">
        <f aca="false">$E27</f>
        <v>6.88536</v>
      </c>
      <c r="M27" s="177" t="n">
        <f aca="false">M$3*$E27</f>
        <v>7.21190421014189</v>
      </c>
      <c r="N27" s="177" t="n">
        <f aca="false">N$3*$E27</f>
        <v>7.40767087839107</v>
      </c>
      <c r="O27" s="177" t="n">
        <f aca="false">O$3*$E27</f>
        <v>7.70611503117421</v>
      </c>
      <c r="P27" s="177" t="n">
        <f aca="false">P$3*$E27</f>
        <v>8.14142540459534</v>
      </c>
      <c r="Q27" s="177" t="n">
        <f aca="false">Q$3*$E27</f>
        <v>8.73711850504411</v>
      </c>
      <c r="R27" s="177" t="n">
        <f aca="false">R$3*$E27</f>
        <v>9.484863419316</v>
      </c>
      <c r="S27" s="177" t="n">
        <f aca="false">S$3*$E27</f>
        <v>10.32804</v>
      </c>
      <c r="T27" s="177" t="n">
        <f aca="false">T$3*$E27</f>
        <v>11.171216580684</v>
      </c>
      <c r="U27" s="177" t="n">
        <f aca="false">U$3*$E27</f>
        <v>11.9189614949559</v>
      </c>
      <c r="V27" s="177" t="n">
        <f aca="false">V$3*$E27</f>
        <v>12.5146545954047</v>
      </c>
      <c r="W27" s="177" t="n">
        <f aca="false">W$3*$E27</f>
        <v>12.9499649688258</v>
      </c>
      <c r="X27" s="177" t="n">
        <f aca="false">X$3*$E27</f>
        <v>13.2484091216089</v>
      </c>
      <c r="Y27" s="177" t="n">
        <f aca="false">Y$3*$E27</f>
        <v>13.4441757898581</v>
      </c>
      <c r="Z27" s="177" t="n">
        <f aca="false">Z$3*$E27</f>
        <v>13.5688947388738</v>
      </c>
      <c r="AA27" s="177" t="n">
        <f aca="false">AA$3*$E27</f>
        <v>13.6468784693754</v>
      </c>
      <c r="AB27" s="177" t="n">
        <f aca="false">AB$3*$E27</f>
        <v>13.695070944689</v>
      </c>
      <c r="AC27" s="177" t="n">
        <f aca="false">AC$3*$E27</f>
        <v>13.72463731196</v>
      </c>
      <c r="AD27" s="219" t="n">
        <f aca="false">Algae_electricity_factor/H27</f>
        <v>0.00199606078745763</v>
      </c>
      <c r="AE27" s="220" t="n">
        <f aca="false">Algae_electricity_factor/I27</f>
        <v>0.00199606078745763</v>
      </c>
      <c r="AF27" s="220" t="n">
        <f aca="false">Algae_electricity_factor/J27</f>
        <v>0.00199606078745763</v>
      </c>
      <c r="AG27" s="220" t="n">
        <f aca="false">Algae_electricity_factor/K27</f>
        <v>0.00199606078745763</v>
      </c>
      <c r="AH27" s="220" t="n">
        <f aca="false">Algae_electricity_factor/L27</f>
        <v>0.00199606078745763</v>
      </c>
      <c r="AI27" s="220" t="n">
        <f aca="false">Algae_electricity_factor/M27</f>
        <v>0.0019056821476084</v>
      </c>
      <c r="AJ27" s="220" t="n">
        <f aca="false">Algae_electricity_factor/N27</f>
        <v>0.00185531961788701</v>
      </c>
      <c r="AK27" s="220" t="n">
        <f aca="false">Algae_electricity_factor/O27</f>
        <v>0.00178346638324644</v>
      </c>
      <c r="AL27" s="220" t="n">
        <f aca="false">Algae_electricity_factor/P27</f>
        <v>0.00168810698624983</v>
      </c>
      <c r="AM27" s="220" t="n">
        <f aca="false">Algae_electricity_factor/Q27</f>
        <v>0.00157301255506547</v>
      </c>
      <c r="AN27" s="220" t="n">
        <f aca="false">Algae_electricity_factor/R27</f>
        <v>0.00144900316387691</v>
      </c>
      <c r="AO27" s="220" t="n">
        <f aca="false">Algae_electricity_factor/S27</f>
        <v>0.00133070719163842</v>
      </c>
      <c r="AP27" s="220" t="n">
        <f aca="false">Algae_electricity_factor/T27</f>
        <v>0.00123026861078794</v>
      </c>
      <c r="AQ27" s="220" t="n">
        <f aca="false">Algae_electricity_factor/U27</f>
        <v>0.00115308679446154</v>
      </c>
      <c r="AR27" s="220" t="n">
        <f aca="false">Algae_electricity_factor/V27</f>
        <v>0.00109820027382744</v>
      </c>
      <c r="AS27" s="220" t="n">
        <f aca="false">Algae_electricity_factor/W27</f>
        <v>0.00106128450050745</v>
      </c>
      <c r="AT27" s="220" t="n">
        <f aca="false">Algae_electricity_factor/X27</f>
        <v>0.00103737716561852</v>
      </c>
      <c r="AU27" s="220" t="n">
        <f aca="false">Algae_electricity_factor/Y27</f>
        <v>0.00102227145184289</v>
      </c>
      <c r="AV27" s="220" t="n">
        <f aca="false">Algae_electricity_factor/Z27</f>
        <v>0.0010128752096628</v>
      </c>
      <c r="AW27" s="220" t="n">
        <f aca="false">Algae_electricity_factor/AA27</f>
        <v>0.00100708723495786</v>
      </c>
      <c r="AX27" s="220" t="n">
        <f aca="false">Algae_electricity_factor/AB27</f>
        <v>0.00100354333022707</v>
      </c>
      <c r="AY27" s="220" t="n">
        <f aca="false">Algae_electricity_factor/AC27</f>
        <v>0.00100138144208392</v>
      </c>
      <c r="AZ27" s="221" t="n">
        <f aca="false">Algae_yield_cost_factor/H27</f>
        <v>0.110501501633352</v>
      </c>
      <c r="BA27" s="197" t="n">
        <f aca="false">Algae_yield_cost_factor/I27</f>
        <v>0.110501501633352</v>
      </c>
      <c r="BB27" s="197" t="n">
        <f aca="false">Algae_yield_cost_factor/J27</f>
        <v>0.110501501633352</v>
      </c>
      <c r="BC27" s="197" t="n">
        <f aca="false">Algae_yield_cost_factor/K27</f>
        <v>0.110501501633352</v>
      </c>
      <c r="BD27" s="197" t="n">
        <f aca="false">Algae_yield_cost_factor/L27</f>
        <v>0.110501501633352</v>
      </c>
      <c r="BE27" s="197" t="n">
        <f aca="false">Algae_yield_cost_factor/M27</f>
        <v>0.105498159309474</v>
      </c>
      <c r="BF27" s="197" t="n">
        <f aca="false">Algae_yield_cost_factor/N27</f>
        <v>0.102710100350931</v>
      </c>
      <c r="BG27" s="197" t="n">
        <f aca="false">Algae_yield_cost_factor/O27</f>
        <v>0.0987323205283487</v>
      </c>
      <c r="BH27" s="197" t="n">
        <f aca="false">Algae_yield_cost_factor/P27</f>
        <v>0.0934532445456994</v>
      </c>
      <c r="BI27" s="197" t="n">
        <f aca="false">Algae_yield_cost_factor/Q27</f>
        <v>0.0870816412581526</v>
      </c>
      <c r="BJ27" s="197" t="n">
        <f aca="false">Algae_yield_cost_factor/R27</f>
        <v>0.0802165076765107</v>
      </c>
      <c r="BK27" s="197" t="n">
        <f aca="false">Algae_yield_cost_factor/S27</f>
        <v>0.0736676677555681</v>
      </c>
      <c r="BL27" s="197" t="n">
        <f aca="false">Algae_yield_cost_factor/T27</f>
        <v>0.0681074092325611</v>
      </c>
      <c r="BM27" s="197" t="n">
        <f aca="false">Algae_yield_cost_factor/U27</f>
        <v>0.0638346402585667</v>
      </c>
      <c r="BN27" s="197" t="n">
        <f aca="false">Algae_yield_cost_factor/V27</f>
        <v>0.0607961341230781</v>
      </c>
      <c r="BO27" s="197" t="n">
        <f aca="false">Algae_yield_cost_factor/W27</f>
        <v>0.0587524847455402</v>
      </c>
      <c r="BP27" s="197" t="n">
        <f aca="false">Algae_yield_cost_factor/X27</f>
        <v>0.0574289797591802</v>
      </c>
      <c r="BQ27" s="197" t="n">
        <f aca="false">Algae_yield_cost_factor/Y27</f>
        <v>0.0565927306499648</v>
      </c>
      <c r="BR27" s="197" t="n">
        <f aca="false">Algae_yield_cost_factor/Z27</f>
        <v>0.0560725566767396</v>
      </c>
      <c r="BS27" s="197" t="n">
        <f aca="false">Algae_yield_cost_factor/AA27</f>
        <v>0.0557521356252717</v>
      </c>
      <c r="BT27" s="197" t="n">
        <f aca="false">Algae_yield_cost_factor/AB27</f>
        <v>0.0555559458113851</v>
      </c>
      <c r="BU27" s="197" t="n">
        <f aca="false">Algae_yield_cost_factor/AC27</f>
        <v>0.0554362641425287</v>
      </c>
    </row>
    <row r="28" customFormat="false" ht="15" hidden="false" customHeight="false" outlineLevel="0" collapsed="false">
      <c r="A28" s="18" t="s">
        <v>695</v>
      </c>
      <c r="B28" s="18" t="s">
        <v>22</v>
      </c>
      <c r="C28" s="18" t="s">
        <v>683</v>
      </c>
      <c r="D28" s="18" t="s">
        <v>683</v>
      </c>
      <c r="E28" s="28" t="n">
        <v>7.074795</v>
      </c>
      <c r="F28" s="185" t="n">
        <f aca="false">E28/$B$2*$F$3/1000</f>
        <v>0.01733324775</v>
      </c>
      <c r="G28" s="18" t="n">
        <f aca="false">LOOKUP(RIGHT(D28,5),Ref!$C$4:$C$21,Ref!$E$4:$E$21)*$G$3</f>
        <v>3</v>
      </c>
      <c r="H28" s="218" t="n">
        <f aca="false">$E28</f>
        <v>7.074795</v>
      </c>
      <c r="I28" s="177" t="n">
        <f aca="false">$E28</f>
        <v>7.074795</v>
      </c>
      <c r="J28" s="177" t="n">
        <f aca="false">$E28</f>
        <v>7.074795</v>
      </c>
      <c r="K28" s="177" t="n">
        <f aca="false">$E28</f>
        <v>7.074795</v>
      </c>
      <c r="L28" s="177" t="n">
        <f aca="false">$E28</f>
        <v>7.074795</v>
      </c>
      <c r="M28" s="177" t="n">
        <f aca="false">M$3*$E28</f>
        <v>7.41032333042728</v>
      </c>
      <c r="N28" s="177" t="n">
        <f aca="false">N$3*$E28</f>
        <v>7.61147607272339</v>
      </c>
      <c r="O28" s="177" t="n">
        <f aca="false">O$3*$E28</f>
        <v>7.91813123670747</v>
      </c>
      <c r="P28" s="177" t="n">
        <f aca="false">P$3*$E28</f>
        <v>8.36541818369759</v>
      </c>
      <c r="Q28" s="177" t="n">
        <f aca="false">Q$3*$E28</f>
        <v>8.97750042320133</v>
      </c>
      <c r="R28" s="177" t="n">
        <f aca="false">R$3*$E28</f>
        <v>9.74581783590978</v>
      </c>
      <c r="S28" s="177" t="n">
        <f aca="false">S$3*$E28</f>
        <v>10.6121925</v>
      </c>
      <c r="T28" s="177" t="n">
        <f aca="false">T$3*$E28</f>
        <v>11.4785671640902</v>
      </c>
      <c r="U28" s="177" t="n">
        <f aca="false">U$3*$E28</f>
        <v>12.2468845767987</v>
      </c>
      <c r="V28" s="177" t="n">
        <f aca="false">V$3*$E28</f>
        <v>12.8589668163024</v>
      </c>
      <c r="W28" s="177" t="n">
        <f aca="false">W$3*$E28</f>
        <v>13.3062537632925</v>
      </c>
      <c r="X28" s="177" t="n">
        <f aca="false">X$3*$E28</f>
        <v>13.6129089272766</v>
      </c>
      <c r="Y28" s="177" t="n">
        <f aca="false">Y$3*$E28</f>
        <v>13.8140616695727</v>
      </c>
      <c r="Z28" s="177" t="n">
        <f aca="false">Z$3*$E28</f>
        <v>13.9422119764415</v>
      </c>
      <c r="AA28" s="177" t="n">
        <f aca="false">AA$3*$E28</f>
        <v>14.0223412516912</v>
      </c>
      <c r="AB28" s="177" t="n">
        <f aca="false">AB$3*$E28</f>
        <v>14.0718596332118</v>
      </c>
      <c r="AC28" s="177" t="n">
        <f aca="false">AC$3*$E28</f>
        <v>14.1022394517451</v>
      </c>
      <c r="AD28" s="219" t="n">
        <f aca="false">Algae_electricity_factor/H28</f>
        <v>0.00194261418225253</v>
      </c>
      <c r="AE28" s="220" t="n">
        <f aca="false">Algae_electricity_factor/I28</f>
        <v>0.00194261418225253</v>
      </c>
      <c r="AF28" s="220" t="n">
        <f aca="false">Algae_electricity_factor/J28</f>
        <v>0.00194261418225253</v>
      </c>
      <c r="AG28" s="220" t="n">
        <f aca="false">Algae_electricity_factor/K28</f>
        <v>0.00194261418225253</v>
      </c>
      <c r="AH28" s="220" t="n">
        <f aca="false">Algae_electricity_factor/L28</f>
        <v>0.00194261418225253</v>
      </c>
      <c r="AI28" s="220" t="n">
        <f aca="false">Algae_electricity_factor/M28</f>
        <v>0.00185465552455682</v>
      </c>
      <c r="AJ28" s="220" t="n">
        <f aca="false">Algae_electricity_factor/N28</f>
        <v>0.00180564150398909</v>
      </c>
      <c r="AK28" s="220" t="n">
        <f aca="false">Algae_electricity_factor/O28</f>
        <v>0.00173571221449522</v>
      </c>
      <c r="AL28" s="220" t="n">
        <f aca="false">Algae_electricity_factor/P28</f>
        <v>0.00164290616460903</v>
      </c>
      <c r="AM28" s="220" t="n">
        <f aca="false">Algae_electricity_factor/Q28</f>
        <v>0.00153089350661689</v>
      </c>
      <c r="AN28" s="220" t="n">
        <f aca="false">Algae_electricity_factor/R28</f>
        <v>0.00141020459595388</v>
      </c>
      <c r="AO28" s="220" t="n">
        <f aca="false">Algae_electricity_factor/S28</f>
        <v>0.00129507612150168</v>
      </c>
      <c r="AP28" s="220" t="n">
        <f aca="false">Algae_electricity_factor/T28</f>
        <v>0.00119732688819603</v>
      </c>
      <c r="AQ28" s="220" t="n">
        <f aca="false">Algae_electricity_factor/U28</f>
        <v>0.00112221169533728</v>
      </c>
      <c r="AR28" s="220" t="n">
        <f aca="false">Algae_electricity_factor/V28</f>
        <v>0.00106879481842237</v>
      </c>
      <c r="AS28" s="220" t="n">
        <f aca="false">Algae_electricity_factor/W28</f>
        <v>0.0010328675033572</v>
      </c>
      <c r="AT28" s="220" t="n">
        <f aca="false">Algae_electricity_factor/X28</f>
        <v>0.00100960031224412</v>
      </c>
      <c r="AU28" s="220" t="n">
        <f aca="false">Algae_electricity_factor/Y28</f>
        <v>0.000994899069677772</v>
      </c>
      <c r="AV28" s="220" t="n">
        <f aca="false">Algae_electricity_factor/Z28</f>
        <v>0.00098575442166223</v>
      </c>
      <c r="AW28" s="220" t="n">
        <f aca="false">Algae_electricity_factor/AA28</f>
        <v>0.000980121426004494</v>
      </c>
      <c r="AX28" s="220" t="n">
        <f aca="false">Algae_electricity_factor/AB28</f>
        <v>0.000976672413011583</v>
      </c>
      <c r="AY28" s="220" t="n">
        <f aca="false">Algae_electricity_factor/AC28</f>
        <v>0.000974568411673687</v>
      </c>
      <c r="AZ28" s="221" t="n">
        <f aca="false">Algae_yield_cost_factor/H28</f>
        <v>0.107542708910466</v>
      </c>
      <c r="BA28" s="197" t="n">
        <f aca="false">Algae_yield_cost_factor/I28</f>
        <v>0.107542708910466</v>
      </c>
      <c r="BB28" s="197" t="n">
        <f aca="false">Algae_yield_cost_factor/J28</f>
        <v>0.107542708910466</v>
      </c>
      <c r="BC28" s="197" t="n">
        <f aca="false">Algae_yield_cost_factor/K28</f>
        <v>0.107542708910466</v>
      </c>
      <c r="BD28" s="197" t="n">
        <f aca="false">Algae_yield_cost_factor/L28</f>
        <v>0.107542708910466</v>
      </c>
      <c r="BE28" s="197" t="n">
        <f aca="false">Algae_yield_cost_factor/M28</f>
        <v>0.102673336285091</v>
      </c>
      <c r="BF28" s="197" t="n">
        <f aca="false">Algae_yield_cost_factor/N28</f>
        <v>0.0999599305071438</v>
      </c>
      <c r="BG28" s="197" t="n">
        <f aca="false">Algae_yield_cost_factor/O28</f>
        <v>0.0960886598796249</v>
      </c>
      <c r="BH28" s="197" t="n">
        <f aca="false">Algae_yield_cost_factor/P28</f>
        <v>0.090950936651193</v>
      </c>
      <c r="BI28" s="197" t="n">
        <f aca="false">Algae_yield_cost_factor/Q28</f>
        <v>0.0847499396736207</v>
      </c>
      <c r="BJ28" s="197" t="n">
        <f aca="false">Algae_yield_cost_factor/R28</f>
        <v>0.078068627189274</v>
      </c>
      <c r="BK28" s="197" t="n">
        <f aca="false">Algae_yield_cost_factor/S28</f>
        <v>0.0716951392736438</v>
      </c>
      <c r="BL28" s="197" t="n">
        <f aca="false">Algae_yield_cost_factor/T28</f>
        <v>0.066283762460044</v>
      </c>
      <c r="BM28" s="197" t="n">
        <f aca="false">Algae_yield_cost_factor/U28</f>
        <v>0.062125401322685</v>
      </c>
      <c r="BN28" s="197" t="n">
        <f aca="false">Algae_yield_cost_factor/V28</f>
        <v>0.0591682543516352</v>
      </c>
      <c r="BO28" s="197" t="n">
        <f aca="false">Algae_yield_cost_factor/W28</f>
        <v>0.0571793258133349</v>
      </c>
      <c r="BP28" s="197" t="n">
        <f aca="false">Algae_yield_cost_factor/X28</f>
        <v>0.0558912590505688</v>
      </c>
      <c r="BQ28" s="197" t="n">
        <f aca="false">Algae_yield_cost_factor/Y28</f>
        <v>0.0550774013816714</v>
      </c>
      <c r="BR28" s="197" t="n">
        <f aca="false">Algae_yield_cost_factor/Z28</f>
        <v>0.0545711556080079</v>
      </c>
      <c r="BS28" s="197" t="n">
        <f aca="false">Algae_yield_cost_factor/AA28</f>
        <v>0.0542593141637066</v>
      </c>
      <c r="BT28" s="197" t="n">
        <f aca="false">Algae_yield_cost_factor/AB28</f>
        <v>0.0540683775362931</v>
      </c>
      <c r="BU28" s="197" t="n">
        <f aca="false">Algae_yield_cost_factor/AC28</f>
        <v>0.0539519004686922</v>
      </c>
    </row>
    <row r="29" customFormat="false" ht="15" hidden="false" customHeight="false" outlineLevel="0" collapsed="false">
      <c r="A29" s="18" t="s">
        <v>695</v>
      </c>
      <c r="B29" s="18" t="s">
        <v>22</v>
      </c>
      <c r="C29" s="18" t="s">
        <v>684</v>
      </c>
      <c r="D29" s="18" t="s">
        <v>684</v>
      </c>
      <c r="E29" s="28" t="n">
        <v>7.076255</v>
      </c>
      <c r="F29" s="185" t="n">
        <f aca="false">E29/$B$2*$F$3/1000</f>
        <v>0.01733682475</v>
      </c>
      <c r="G29" s="18" t="n">
        <f aca="false">LOOKUP(RIGHT(D29,5),Ref!$C$4:$C$21,Ref!$E$4:$E$21)*$G$3</f>
        <v>3.5</v>
      </c>
      <c r="H29" s="218" t="n">
        <f aca="false">$E29</f>
        <v>7.076255</v>
      </c>
      <c r="I29" s="177" t="n">
        <f aca="false">$E29</f>
        <v>7.076255</v>
      </c>
      <c r="J29" s="177" t="n">
        <f aca="false">$E29</f>
        <v>7.076255</v>
      </c>
      <c r="K29" s="177" t="n">
        <f aca="false">$E29</f>
        <v>7.076255</v>
      </c>
      <c r="L29" s="177" t="n">
        <f aca="false">$E29</f>
        <v>7.076255</v>
      </c>
      <c r="M29" s="177" t="n">
        <f aca="false">M$3*$E29</f>
        <v>7.41185257220212</v>
      </c>
      <c r="N29" s="177" t="n">
        <f aca="false">N$3*$E29</f>
        <v>7.61304682566622</v>
      </c>
      <c r="O29" s="177" t="n">
        <f aca="false">O$3*$E29</f>
        <v>7.91976527297362</v>
      </c>
      <c r="P29" s="177" t="n">
        <f aca="false">P$3*$E29</f>
        <v>8.36714452496235</v>
      </c>
      <c r="Q29" s="177" t="n">
        <f aca="false">Q$3*$E29</f>
        <v>8.97935307767654</v>
      </c>
      <c r="R29" s="177" t="n">
        <f aca="false">R$3*$E29</f>
        <v>9.74782904528622</v>
      </c>
      <c r="S29" s="177" t="n">
        <f aca="false">S$3*$E29</f>
        <v>10.6143825</v>
      </c>
      <c r="T29" s="177" t="n">
        <f aca="false">T$3*$E29</f>
        <v>11.4809359547138</v>
      </c>
      <c r="U29" s="177" t="n">
        <f aca="false">U$3*$E29</f>
        <v>12.2494119223235</v>
      </c>
      <c r="V29" s="177" t="n">
        <f aca="false">V$3*$E29</f>
        <v>12.8616204750377</v>
      </c>
      <c r="W29" s="177" t="n">
        <f aca="false">W$3*$E29</f>
        <v>13.3089997270264</v>
      </c>
      <c r="X29" s="177" t="n">
        <f aca="false">X$3*$E29</f>
        <v>13.6157181743338</v>
      </c>
      <c r="Y29" s="177" t="n">
        <f aca="false">Y$3*$E29</f>
        <v>13.8169124277979</v>
      </c>
      <c r="Z29" s="177" t="n">
        <f aca="false">Z$3*$E29</f>
        <v>13.9450891805846</v>
      </c>
      <c r="AA29" s="177" t="n">
        <f aca="false">AA$3*$E29</f>
        <v>14.0252349918247</v>
      </c>
      <c r="AB29" s="177" t="n">
        <f aca="false">AB$3*$E29</f>
        <v>14.0747635922756</v>
      </c>
      <c r="AC29" s="177" t="n">
        <f aca="false">AC$3*$E29</f>
        <v>14.1051496801828</v>
      </c>
      <c r="AD29" s="219" t="n">
        <f aca="false">Algae_electricity_factor/H29</f>
        <v>0.00194221337466347</v>
      </c>
      <c r="AE29" s="220" t="n">
        <f aca="false">Algae_electricity_factor/I29</f>
        <v>0.00194221337466347</v>
      </c>
      <c r="AF29" s="220" t="n">
        <f aca="false">Algae_electricity_factor/J29</f>
        <v>0.00194221337466347</v>
      </c>
      <c r="AG29" s="220" t="n">
        <f aca="false">Algae_electricity_factor/K29</f>
        <v>0.00194221337466347</v>
      </c>
      <c r="AH29" s="220" t="n">
        <f aca="false">Algae_electricity_factor/L29</f>
        <v>0.00194221337466347</v>
      </c>
      <c r="AI29" s="220" t="n">
        <f aca="false">Algae_electricity_factor/M29</f>
        <v>0.00185427286493448</v>
      </c>
      <c r="AJ29" s="220" t="n">
        <f aca="false">Algae_electricity_factor/N29</f>
        <v>0.00180526895712697</v>
      </c>
      <c r="AK29" s="220" t="n">
        <f aca="false">Algae_electricity_factor/O29</f>
        <v>0.0017353540957116</v>
      </c>
      <c r="AL29" s="220" t="n">
        <f aca="false">Algae_electricity_factor/P29</f>
        <v>0.00164256719392463</v>
      </c>
      <c r="AM29" s="220" t="n">
        <f aca="false">Algae_electricity_factor/Q29</f>
        <v>0.00153057764681256</v>
      </c>
      <c r="AN29" s="220" t="n">
        <f aca="false">Algae_electricity_factor/R29</f>
        <v>0.00140991363714727</v>
      </c>
      <c r="AO29" s="220" t="n">
        <f aca="false">Algae_electricity_factor/S29</f>
        <v>0.00129480891644231</v>
      </c>
      <c r="AP29" s="220" t="n">
        <f aca="false">Algae_electricity_factor/T29</f>
        <v>0.00119707985113239</v>
      </c>
      <c r="AQ29" s="220" t="n">
        <f aca="false">Algae_electricity_factor/U29</f>
        <v>0.00112198015632757</v>
      </c>
      <c r="AR29" s="220" t="n">
        <f aca="false">Algae_electricity_factor/V29</f>
        <v>0.00106857430058704</v>
      </c>
      <c r="AS29" s="220" t="n">
        <f aca="false">Algae_electricity_factor/W29</f>
        <v>0.00103265439818293</v>
      </c>
      <c r="AT29" s="220" t="n">
        <f aca="false">Algae_electricity_factor/X29</f>
        <v>0.00100939200764573</v>
      </c>
      <c r="AU29" s="220" t="n">
        <f aca="false">Algae_electricity_factor/Y29</f>
        <v>0.000994693798295984</v>
      </c>
      <c r="AV29" s="220" t="n">
        <f aca="false">Algae_electricity_factor/Z29</f>
        <v>0.000985551037039201</v>
      </c>
      <c r="AW29" s="220" t="n">
        <f aca="false">Algae_electricity_factor/AA29</f>
        <v>0.000979919203602677</v>
      </c>
      <c r="AX29" s="220" t="n">
        <f aca="false">Algae_electricity_factor/AB29</f>
        <v>0.000976470902223321</v>
      </c>
      <c r="AY29" s="220" t="n">
        <f aca="false">Algae_electricity_factor/AC29</f>
        <v>0.000974367334991029</v>
      </c>
      <c r="AZ29" s="221" t="n">
        <f aca="false">Algae_yield_cost_factor/H29</f>
        <v>0.107520520287386</v>
      </c>
      <c r="BA29" s="197" t="n">
        <f aca="false">Algae_yield_cost_factor/I29</f>
        <v>0.107520520287386</v>
      </c>
      <c r="BB29" s="197" t="n">
        <f aca="false">Algae_yield_cost_factor/J29</f>
        <v>0.107520520287386</v>
      </c>
      <c r="BC29" s="197" t="n">
        <f aca="false">Algae_yield_cost_factor/K29</f>
        <v>0.107520520287386</v>
      </c>
      <c r="BD29" s="197" t="n">
        <f aca="false">Algae_yield_cost_factor/L29</f>
        <v>0.107520520287386</v>
      </c>
      <c r="BE29" s="197" t="n">
        <f aca="false">Algae_yield_cost_factor/M29</f>
        <v>0.102652152329598</v>
      </c>
      <c r="BF29" s="197" t="n">
        <f aca="false">Algae_yield_cost_factor/N29</f>
        <v>0.0999393063919104</v>
      </c>
      <c r="BG29" s="197" t="n">
        <f aca="false">Algae_yield_cost_factor/O29</f>
        <v>0.096068834499756</v>
      </c>
      <c r="BH29" s="197" t="n">
        <f aca="false">Algae_yield_cost_factor/P29</f>
        <v>0.0909321713060337</v>
      </c>
      <c r="BI29" s="197" t="n">
        <f aca="false">Algae_yield_cost_factor/Q29</f>
        <v>0.0847324537418781</v>
      </c>
      <c r="BJ29" s="197" t="n">
        <f aca="false">Algae_yield_cost_factor/R29</f>
        <v>0.0780525197714808</v>
      </c>
      <c r="BK29" s="197" t="n">
        <f aca="false">Algae_yield_cost_factor/S29</f>
        <v>0.0716803468582574</v>
      </c>
      <c r="BL29" s="197" t="n">
        <f aca="false">Algae_yield_cost_factor/T29</f>
        <v>0.0662700865406217</v>
      </c>
      <c r="BM29" s="197" t="n">
        <f aca="false">Algae_yield_cost_factor/U29</f>
        <v>0.0621125833722393</v>
      </c>
      <c r="BN29" s="197" t="n">
        <f aca="false">Algae_yield_cost_factor/V29</f>
        <v>0.0591560465310644</v>
      </c>
      <c r="BO29" s="197" t="n">
        <f aca="false">Algae_yield_cost_factor/W29</f>
        <v>0.0571675283561083</v>
      </c>
      <c r="BP29" s="197" t="n">
        <f aca="false">Algae_yield_cost_factor/X29</f>
        <v>0.0558797273522038</v>
      </c>
      <c r="BQ29" s="197" t="n">
        <f aca="false">Algae_yield_cost_factor/Y29</f>
        <v>0.0550660376015338</v>
      </c>
      <c r="BR29" s="197" t="n">
        <f aca="false">Algae_yield_cost_factor/Z29</f>
        <v>0.0545598962784349</v>
      </c>
      <c r="BS29" s="197" t="n">
        <f aca="false">Algae_yield_cost_factor/AA29</f>
        <v>0.0542481191744532</v>
      </c>
      <c r="BT29" s="197" t="n">
        <f aca="false">Algae_yield_cost_factor/AB29</f>
        <v>0.0540572219418151</v>
      </c>
      <c r="BU29" s="197" t="n">
        <f aca="false">Algae_yield_cost_factor/AC29</f>
        <v>0.0539407689062084</v>
      </c>
    </row>
    <row r="30" customFormat="false" ht="15" hidden="false" customHeight="false" outlineLevel="0" collapsed="false">
      <c r="A30" s="18" t="s">
        <v>695</v>
      </c>
      <c r="B30" s="18" t="s">
        <v>22</v>
      </c>
      <c r="C30" s="18" t="s">
        <v>685</v>
      </c>
      <c r="D30" s="18" t="s">
        <v>685</v>
      </c>
      <c r="E30" s="28" t="n">
        <v>6.775495</v>
      </c>
      <c r="F30" s="185" t="n">
        <f aca="false">E30/$B$2*$F$3/1000</f>
        <v>0.01659996275</v>
      </c>
      <c r="G30" s="18" t="n">
        <f aca="false">LOOKUP(RIGHT(D30,5),Ref!$C$4:$C$21,Ref!$E$4:$E$21)*$G$3</f>
        <v>4</v>
      </c>
      <c r="H30" s="218" t="n">
        <f aca="false">$E30</f>
        <v>6.775495</v>
      </c>
      <c r="I30" s="177" t="n">
        <f aca="false">$E30</f>
        <v>6.775495</v>
      </c>
      <c r="J30" s="177" t="n">
        <f aca="false">$E30</f>
        <v>6.775495</v>
      </c>
      <c r="K30" s="177" t="n">
        <f aca="false">$E30</f>
        <v>6.775495</v>
      </c>
      <c r="L30" s="177" t="n">
        <f aca="false">$E30</f>
        <v>6.775495</v>
      </c>
      <c r="M30" s="177" t="n">
        <f aca="false">M$3*$E30</f>
        <v>7.09682876658524</v>
      </c>
      <c r="N30" s="177" t="n">
        <f aca="false">N$3*$E30</f>
        <v>7.28947171944304</v>
      </c>
      <c r="O30" s="177" t="n">
        <f aca="false">O$3*$E30</f>
        <v>7.58315380214625</v>
      </c>
      <c r="P30" s="177" t="n">
        <f aca="false">P$3*$E30</f>
        <v>8.01151822442235</v>
      </c>
      <c r="Q30" s="177" t="n">
        <f aca="false">Q$3*$E30</f>
        <v>8.5977062557853</v>
      </c>
      <c r="R30" s="177" t="n">
        <f aca="false">R$3*$E30</f>
        <v>9.33351991373849</v>
      </c>
      <c r="S30" s="177" t="n">
        <f aca="false">S$3*$E30</f>
        <v>10.1632425</v>
      </c>
      <c r="T30" s="177" t="n">
        <f aca="false">T$3*$E30</f>
        <v>10.9929650862615</v>
      </c>
      <c r="U30" s="177" t="n">
        <f aca="false">U$3*$E30</f>
        <v>11.7287787442147</v>
      </c>
      <c r="V30" s="177" t="n">
        <f aca="false">V$3*$E30</f>
        <v>12.3149667755777</v>
      </c>
      <c r="W30" s="177" t="n">
        <f aca="false">W$3*$E30</f>
        <v>12.7433311978538</v>
      </c>
      <c r="X30" s="177" t="n">
        <f aca="false">X$3*$E30</f>
        <v>13.037013280557</v>
      </c>
      <c r="Y30" s="177" t="n">
        <f aca="false">Y$3*$E30</f>
        <v>13.2296562334148</v>
      </c>
      <c r="Z30" s="177" t="n">
        <f aca="false">Z$3*$E30</f>
        <v>13.3523851271053</v>
      </c>
      <c r="AA30" s="177" t="n">
        <f aca="false">AA$3*$E30</f>
        <v>13.4291245243329</v>
      </c>
      <c r="AB30" s="177" t="n">
        <f aca="false">AB$3*$E30</f>
        <v>13.4765480251411</v>
      </c>
      <c r="AC30" s="177" t="n">
        <f aca="false">AC$3*$E30</f>
        <v>13.5056426220268</v>
      </c>
      <c r="AD30" s="219" t="n">
        <f aca="false">Algae_electricity_factor/H30</f>
        <v>0.00202842701581645</v>
      </c>
      <c r="AE30" s="220" t="n">
        <f aca="false">Algae_electricity_factor/I30</f>
        <v>0.00202842701581645</v>
      </c>
      <c r="AF30" s="220" t="n">
        <f aca="false">Algae_electricity_factor/J30</f>
        <v>0.00202842701581645</v>
      </c>
      <c r="AG30" s="220" t="n">
        <f aca="false">Algae_electricity_factor/K30</f>
        <v>0.00202842701581645</v>
      </c>
      <c r="AH30" s="220" t="n">
        <f aca="false">Algae_electricity_factor/L30</f>
        <v>0.00202842701581645</v>
      </c>
      <c r="AI30" s="220" t="n">
        <f aca="false">Algae_electricity_factor/M30</f>
        <v>0.00193658288167241</v>
      </c>
      <c r="AJ30" s="220" t="n">
        <f aca="false">Algae_electricity_factor/N30</f>
        <v>0.00188540372094061</v>
      </c>
      <c r="AK30" s="220" t="n">
        <f aca="false">Algae_electricity_factor/O30</f>
        <v>0.00181238538240375</v>
      </c>
      <c r="AL30" s="220" t="n">
        <f aca="false">Algae_electricity_factor/P30</f>
        <v>0.00171547972787895</v>
      </c>
      <c r="AM30" s="220" t="n">
        <f aca="false">Algae_electricity_factor/Q30</f>
        <v>0.00159851903457173</v>
      </c>
      <c r="AN30" s="220" t="n">
        <f aca="false">Algae_electricity_factor/R30</f>
        <v>0.00147249882472521</v>
      </c>
      <c r="AO30" s="220" t="n">
        <f aca="false">Algae_electricity_factor/S30</f>
        <v>0.00135228467721096</v>
      </c>
      <c r="AP30" s="220" t="n">
        <f aca="false">Algae_electricity_factor/T30</f>
        <v>0.00125021747960478</v>
      </c>
      <c r="AQ30" s="220" t="n">
        <f aca="false">Algae_electricity_factor/U30</f>
        <v>0.00117178415615593</v>
      </c>
      <c r="AR30" s="220" t="n">
        <f aca="false">Algae_electricity_factor/V30</f>
        <v>0.00111600764776603</v>
      </c>
      <c r="AS30" s="220" t="n">
        <f aca="false">Algae_electricity_factor/W30</f>
        <v>0.00107849328328247</v>
      </c>
      <c r="AT30" s="220" t="n">
        <f aca="false">Algae_electricity_factor/X30</f>
        <v>0.00105419828972837</v>
      </c>
      <c r="AU30" s="220" t="n">
        <f aca="false">Algae_electricity_factor/Y30</f>
        <v>0.00103884763602673</v>
      </c>
      <c r="AV30" s="220" t="n">
        <f aca="false">Algae_electricity_factor/Z30</f>
        <v>0.00102929903329629</v>
      </c>
      <c r="AW30" s="220" t="n">
        <f aca="false">Algae_electricity_factor/AA30</f>
        <v>0.00102341720628374</v>
      </c>
      <c r="AX30" s="220" t="n">
        <f aca="false">Algae_electricity_factor/AB30</f>
        <v>0.00101981583695542</v>
      </c>
      <c r="AY30" s="220" t="n">
        <f aca="false">Algae_electricity_factor/AC30</f>
        <v>0.00101761889368481</v>
      </c>
      <c r="AZ30" s="221" t="n">
        <f aca="false">Algae_yield_cost_factor/H30</f>
        <v>0.112293289167244</v>
      </c>
      <c r="BA30" s="197" t="n">
        <f aca="false">Algae_yield_cost_factor/I30</f>
        <v>0.112293289167244</v>
      </c>
      <c r="BB30" s="197" t="n">
        <f aca="false">Algae_yield_cost_factor/J30</f>
        <v>0.112293289167244</v>
      </c>
      <c r="BC30" s="197" t="n">
        <f aca="false">Algae_yield_cost_factor/K30</f>
        <v>0.112293289167244</v>
      </c>
      <c r="BD30" s="197" t="n">
        <f aca="false">Algae_yield_cost_factor/L30</f>
        <v>0.112293289167244</v>
      </c>
      <c r="BE30" s="197" t="n">
        <f aca="false">Algae_yield_cost_factor/M30</f>
        <v>0.107208817390181</v>
      </c>
      <c r="BF30" s="197" t="n">
        <f aca="false">Algae_yield_cost_factor/N30</f>
        <v>0.104375549912189</v>
      </c>
      <c r="BG30" s="197" t="n">
        <f aca="false">Algae_yield_cost_factor/O30</f>
        <v>0.100333270185141</v>
      </c>
      <c r="BH30" s="197" t="n">
        <f aca="false">Algae_yield_cost_factor/P30</f>
        <v>0.0949685937138434</v>
      </c>
      <c r="BI30" s="197" t="n">
        <f aca="false">Algae_yield_cost_factor/Q30</f>
        <v>0.0884936745511927</v>
      </c>
      <c r="BJ30" s="197" t="n">
        <f aca="false">Algae_yield_cost_factor/R30</f>
        <v>0.081517222475338</v>
      </c>
      <c r="BK30" s="197" t="n">
        <f aca="false">Algae_yield_cost_factor/S30</f>
        <v>0.0748621927781629</v>
      </c>
      <c r="BL30" s="197" t="n">
        <f aca="false">Algae_yield_cost_factor/T30</f>
        <v>0.0692117743771499</v>
      </c>
      <c r="BM30" s="197" t="n">
        <f aca="false">Algae_yield_cost_factor/U30</f>
        <v>0.0648697222344235</v>
      </c>
      <c r="BN30" s="197" t="n">
        <f aca="false">Algae_yield_cost_factor/V30</f>
        <v>0.0617819465656276</v>
      </c>
      <c r="BO30" s="197" t="n">
        <f aca="false">Algae_yield_cost_factor/W30</f>
        <v>0.0597051593082945</v>
      </c>
      <c r="BP30" s="197" t="n">
        <f aca="false">Algae_yield_cost_factor/X30</f>
        <v>0.0583601936204911</v>
      </c>
      <c r="BQ30" s="197" t="n">
        <f aca="false">Algae_yield_cost_factor/Y30</f>
        <v>0.0575103846889477</v>
      </c>
      <c r="BR30" s="197" t="n">
        <f aca="false">Algae_yield_cost_factor/Z30</f>
        <v>0.0569817760679856</v>
      </c>
      <c r="BS30" s="197" t="n">
        <f aca="false">Algae_yield_cost_factor/AA30</f>
        <v>0.0566561593726835</v>
      </c>
      <c r="BT30" s="197" t="n">
        <f aca="false">Algae_yield_cost_factor/AB30</f>
        <v>0.0564567883308715</v>
      </c>
      <c r="BU30" s="197" t="n">
        <f aca="false">Algae_yield_cost_factor/AC30</f>
        <v>0.0563351660175974</v>
      </c>
    </row>
    <row r="31" customFormat="false" ht="15" hidden="false" customHeight="false" outlineLevel="0" collapsed="false">
      <c r="A31" s="18" t="s">
        <v>695</v>
      </c>
      <c r="B31" s="18" t="s">
        <v>22</v>
      </c>
      <c r="C31" s="18" t="s">
        <v>686</v>
      </c>
      <c r="D31" s="18" t="s">
        <v>686</v>
      </c>
      <c r="E31" s="28" t="n">
        <v>6.536055</v>
      </c>
      <c r="F31" s="185" t="n">
        <f aca="false">E31/$B$2*$F$3/1000</f>
        <v>0.01601333475</v>
      </c>
      <c r="G31" s="18" t="n">
        <f aca="false">LOOKUP(RIGHT(D31,5),Ref!$C$4:$C$21,Ref!$E$4:$E$21)*$G$3</f>
        <v>4.5</v>
      </c>
      <c r="H31" s="218" t="n">
        <f aca="false">$E31</f>
        <v>6.536055</v>
      </c>
      <c r="I31" s="177" t="n">
        <f aca="false">$E31</f>
        <v>6.536055</v>
      </c>
      <c r="J31" s="177" t="n">
        <f aca="false">$E31</f>
        <v>6.536055</v>
      </c>
      <c r="K31" s="177" t="n">
        <f aca="false">$E31</f>
        <v>6.536055</v>
      </c>
      <c r="L31" s="177" t="n">
        <f aca="false">$E31</f>
        <v>6.536055</v>
      </c>
      <c r="M31" s="177" t="n">
        <f aca="false">M$3*$E31</f>
        <v>6.8460331155116</v>
      </c>
      <c r="N31" s="177" t="n">
        <f aca="false">N$3*$E31</f>
        <v>7.03186823681875</v>
      </c>
      <c r="O31" s="177" t="n">
        <f aca="false">O$3*$E31</f>
        <v>7.31517185449727</v>
      </c>
      <c r="P31" s="177" t="n">
        <f aca="false">P$3*$E31</f>
        <v>7.72839825700216</v>
      </c>
      <c r="Q31" s="177" t="n">
        <f aca="false">Q$3*$E31</f>
        <v>8.29387092185246</v>
      </c>
      <c r="R31" s="177" t="n">
        <f aca="false">R$3*$E31</f>
        <v>9.00368157600146</v>
      </c>
      <c r="S31" s="177" t="n">
        <f aca="false">S$3*$E31</f>
        <v>9.8040825</v>
      </c>
      <c r="T31" s="177" t="n">
        <f aca="false">T$3*$E31</f>
        <v>10.6044834239985</v>
      </c>
      <c r="U31" s="177" t="n">
        <f aca="false">U$3*$E31</f>
        <v>11.3142940781475</v>
      </c>
      <c r="V31" s="177" t="n">
        <f aca="false">V$3*$E31</f>
        <v>11.8797667429978</v>
      </c>
      <c r="W31" s="177" t="n">
        <f aca="false">W$3*$E31</f>
        <v>12.2929931455027</v>
      </c>
      <c r="X31" s="177" t="n">
        <f aca="false">X$3*$E31</f>
        <v>12.5762967631813</v>
      </c>
      <c r="Y31" s="177" t="n">
        <f aca="false">Y$3*$E31</f>
        <v>12.7621318844884</v>
      </c>
      <c r="Z31" s="177" t="n">
        <f aca="false">Z$3*$E31</f>
        <v>12.8805236476364</v>
      </c>
      <c r="AA31" s="177" t="n">
        <f aca="false">AA$3*$E31</f>
        <v>12.9545511424462</v>
      </c>
      <c r="AB31" s="177" t="n">
        <f aca="false">AB$3*$E31</f>
        <v>13.0002987386846</v>
      </c>
      <c r="AC31" s="177" t="n">
        <f aca="false">AC$3*$E31</f>
        <v>13.0283651582521</v>
      </c>
      <c r="AD31" s="219" t="n">
        <f aca="false">Algae_electricity_factor/H31</f>
        <v>0.00210273584043116</v>
      </c>
      <c r="AE31" s="220" t="n">
        <f aca="false">Algae_electricity_factor/I31</f>
        <v>0.00210273584043116</v>
      </c>
      <c r="AF31" s="220" t="n">
        <f aca="false">Algae_electricity_factor/J31</f>
        <v>0.00210273584043116</v>
      </c>
      <c r="AG31" s="220" t="n">
        <f aca="false">Algae_electricity_factor/K31</f>
        <v>0.00210273584043116</v>
      </c>
      <c r="AH31" s="220" t="n">
        <f aca="false">Algae_electricity_factor/L31</f>
        <v>0.00210273584043116</v>
      </c>
      <c r="AI31" s="220" t="n">
        <f aca="false">Algae_electricity_factor/M31</f>
        <v>0.00200752711411654</v>
      </c>
      <c r="AJ31" s="220" t="n">
        <f aca="false">Algae_electricity_factor/N31</f>
        <v>0.00195447307040937</v>
      </c>
      <c r="AK31" s="220" t="n">
        <f aca="false">Algae_electricity_factor/O31</f>
        <v>0.00187877979860171</v>
      </c>
      <c r="AL31" s="220" t="n">
        <f aca="false">Algae_electricity_factor/P31</f>
        <v>0.00177832412959272</v>
      </c>
      <c r="AM31" s="220" t="n">
        <f aca="false">Algae_electricity_factor/Q31</f>
        <v>0.00165707873115291</v>
      </c>
      <c r="AN31" s="220" t="n">
        <f aca="false">Algae_electricity_factor/R31</f>
        <v>0.0015264419323937</v>
      </c>
      <c r="AO31" s="220" t="n">
        <f aca="false">Algae_electricity_factor/S31</f>
        <v>0.00140182389362077</v>
      </c>
      <c r="AP31" s="220" t="n">
        <f aca="false">Algae_electricity_factor/T31</f>
        <v>0.00129601759501333</v>
      </c>
      <c r="AQ31" s="220" t="n">
        <f aca="false">Algae_electricity_factor/U31</f>
        <v>0.00121471096725987</v>
      </c>
      <c r="AR31" s="220" t="n">
        <f aca="false">Algae_electricity_factor/V31</f>
        <v>0.00115689115795392</v>
      </c>
      <c r="AS31" s="220" t="n">
        <f aca="false">Algae_electricity_factor/W31</f>
        <v>0.00111800250279626</v>
      </c>
      <c r="AT31" s="220" t="n">
        <f aca="false">Algae_electricity_factor/X31</f>
        <v>0.00109281749328351</v>
      </c>
      <c r="AU31" s="220" t="n">
        <f aca="false">Algae_electricity_factor/Y31</f>
        <v>0.00107690448805295</v>
      </c>
      <c r="AV31" s="220" t="n">
        <f aca="false">Algae_electricity_factor/Z31</f>
        <v>0.00106700608449651</v>
      </c>
      <c r="AW31" s="220" t="n">
        <f aca="false">Algae_electricity_factor/AA31</f>
        <v>0.00106090878428799</v>
      </c>
      <c r="AX31" s="220" t="n">
        <f aca="false">Algae_electricity_factor/AB31</f>
        <v>0.00105717548340892</v>
      </c>
      <c r="AY31" s="220" t="n">
        <f aca="false">Algae_electricity_factor/AC31</f>
        <v>0.00105489805793662</v>
      </c>
      <c r="AZ31" s="221" t="n">
        <f aca="false">Algae_yield_cost_factor/H31</f>
        <v>0.116407009929723</v>
      </c>
      <c r="BA31" s="197" t="n">
        <f aca="false">Algae_yield_cost_factor/I31</f>
        <v>0.116407009929723</v>
      </c>
      <c r="BB31" s="197" t="n">
        <f aca="false">Algae_yield_cost_factor/J31</f>
        <v>0.116407009929723</v>
      </c>
      <c r="BC31" s="197" t="n">
        <f aca="false">Algae_yield_cost_factor/K31</f>
        <v>0.116407009929723</v>
      </c>
      <c r="BD31" s="197" t="n">
        <f aca="false">Algae_yield_cost_factor/L31</f>
        <v>0.116407009929723</v>
      </c>
      <c r="BE31" s="197" t="n">
        <f aca="false">Algae_yield_cost_factor/M31</f>
        <v>0.111136275044057</v>
      </c>
      <c r="BF31" s="197" t="n">
        <f aca="false">Algae_yield_cost_factor/N31</f>
        <v>0.108199214442395</v>
      </c>
      <c r="BG31" s="197" t="n">
        <f aca="false">Algae_yield_cost_factor/O31</f>
        <v>0.104008850977091</v>
      </c>
      <c r="BH31" s="197" t="n">
        <f aca="false">Algae_yield_cost_factor/P31</f>
        <v>0.0984476464572555</v>
      </c>
      <c r="BI31" s="197" t="n">
        <f aca="false">Algae_yield_cost_factor/Q31</f>
        <v>0.0917355269276702</v>
      </c>
      <c r="BJ31" s="197" t="n">
        <f aca="false">Algae_yield_cost_factor/R31</f>
        <v>0.084503501469241</v>
      </c>
      <c r="BK31" s="197" t="n">
        <f aca="false">Algae_yield_cost_factor/S31</f>
        <v>0.0776046732864822</v>
      </c>
      <c r="BL31" s="197" t="n">
        <f aca="false">Algae_yield_cost_factor/T31</f>
        <v>0.0717472590474693</v>
      </c>
      <c r="BM31" s="197" t="n">
        <f aca="false">Algae_yield_cost_factor/U31</f>
        <v>0.06724614138815</v>
      </c>
      <c r="BN31" s="197" t="n">
        <f aca="false">Algae_yield_cost_factor/V31</f>
        <v>0.064045249014226</v>
      </c>
      <c r="BO31" s="197" t="n">
        <f aca="false">Algae_yield_cost_factor/W31</f>
        <v>0.0618923813167963</v>
      </c>
      <c r="BP31" s="197" t="n">
        <f aca="false">Algae_yield_cost_factor/X31</f>
        <v>0.0604981445343818</v>
      </c>
      <c r="BQ31" s="197" t="n">
        <f aca="false">Algae_yield_cost_factor/Y31</f>
        <v>0.0596172039415277</v>
      </c>
      <c r="BR31" s="197" t="n">
        <f aca="false">Algae_yield_cost_factor/Z31</f>
        <v>0.0590692304210653</v>
      </c>
      <c r="BS31" s="197" t="n">
        <f aca="false">Algae_yield_cost_factor/AA31</f>
        <v>0.0587316851753574</v>
      </c>
      <c r="BT31" s="197" t="n">
        <f aca="false">Algae_yield_cost_factor/AB31</f>
        <v>0.0585250104308912</v>
      </c>
      <c r="BU31" s="197" t="n">
        <f aca="false">Algae_yield_cost_factor/AC31</f>
        <v>0.0583989326400101</v>
      </c>
    </row>
    <row r="32" customFormat="false" ht="15" hidden="false" customHeight="false" outlineLevel="0" collapsed="false">
      <c r="A32" s="18" t="s">
        <v>696</v>
      </c>
      <c r="B32" s="18" t="s">
        <v>22</v>
      </c>
      <c r="C32" s="18" t="s">
        <v>690</v>
      </c>
      <c r="D32" s="18" t="s">
        <v>690</v>
      </c>
      <c r="E32" s="28" t="n">
        <v>6.904705</v>
      </c>
      <c r="F32" s="185" t="n">
        <f aca="false">E32/$B$2*$F$3/1000</f>
        <v>0.01691652725</v>
      </c>
      <c r="G32" s="18" t="n">
        <f aca="false">LOOKUP(RIGHT(D32,5),Ref!$C$4:$C$21,Ref!$E$4:$E$21)*$G$3</f>
        <v>1.5</v>
      </c>
      <c r="H32" s="218" t="n">
        <f aca="false">$E32</f>
        <v>6.904705</v>
      </c>
      <c r="I32" s="177" t="n">
        <f aca="false">$E32</f>
        <v>6.904705</v>
      </c>
      <c r="J32" s="177" t="n">
        <f aca="false">$E32</f>
        <v>6.904705</v>
      </c>
      <c r="K32" s="177" t="n">
        <f aca="false">$E32</f>
        <v>6.904705</v>
      </c>
      <c r="L32" s="177" t="n">
        <f aca="false">$E32</f>
        <v>6.904705</v>
      </c>
      <c r="M32" s="177" t="n">
        <f aca="false">M$3*$E32</f>
        <v>7.23216666365851</v>
      </c>
      <c r="N32" s="177" t="n">
        <f aca="false">N$3*$E32</f>
        <v>7.42848335488358</v>
      </c>
      <c r="O32" s="177" t="n">
        <f aca="false">O$3*$E32</f>
        <v>7.72776601170073</v>
      </c>
      <c r="P32" s="177" t="n">
        <f aca="false">P$3*$E32</f>
        <v>8.16429942635337</v>
      </c>
      <c r="Q32" s="177" t="n">
        <f aca="false">Q$3*$E32</f>
        <v>8.76166617684051</v>
      </c>
      <c r="R32" s="177" t="n">
        <f aca="false">R$3*$E32</f>
        <v>9.5115119435539</v>
      </c>
      <c r="S32" s="177" t="n">
        <f aca="false">S$3*$E32</f>
        <v>10.3570575</v>
      </c>
      <c r="T32" s="177" t="n">
        <f aca="false">T$3*$E32</f>
        <v>11.2026030564461</v>
      </c>
      <c r="U32" s="177" t="n">
        <f aca="false">U$3*$E32</f>
        <v>11.9524488231595</v>
      </c>
      <c r="V32" s="177" t="n">
        <f aca="false">V$3*$E32</f>
        <v>12.5498155736466</v>
      </c>
      <c r="W32" s="177" t="n">
        <f aca="false">W$3*$E32</f>
        <v>12.9863489882993</v>
      </c>
      <c r="X32" s="177" t="n">
        <f aca="false">X$3*$E32</f>
        <v>13.2856316451164</v>
      </c>
      <c r="Y32" s="177" t="n">
        <f aca="false">Y$3*$E32</f>
        <v>13.4819483363415</v>
      </c>
      <c r="Z32" s="177" t="n">
        <f aca="false">Z$3*$E32</f>
        <v>13.60701769377</v>
      </c>
      <c r="AA32" s="177" t="n">
        <f aca="false">AA$3*$E32</f>
        <v>13.6852205261437</v>
      </c>
      <c r="AB32" s="177" t="n">
        <f aca="false">AB$3*$E32</f>
        <v>13.7335484022838</v>
      </c>
      <c r="AC32" s="177" t="n">
        <f aca="false">AC$3*$E32</f>
        <v>13.7631978387588</v>
      </c>
      <c r="AD32" s="219" t="n">
        <f aca="false">Algae_electricity_factor/H32</f>
        <v>0.00199046839850932</v>
      </c>
      <c r="AE32" s="220" t="n">
        <f aca="false">Algae_electricity_factor/I32</f>
        <v>0.00199046839850932</v>
      </c>
      <c r="AF32" s="220" t="n">
        <f aca="false">Algae_electricity_factor/J32</f>
        <v>0.00199046839850932</v>
      </c>
      <c r="AG32" s="220" t="n">
        <f aca="false">Algae_electricity_factor/K32</f>
        <v>0.00199046839850932</v>
      </c>
      <c r="AH32" s="220" t="n">
        <f aca="false">Algae_electricity_factor/L32</f>
        <v>0.00199046839850932</v>
      </c>
      <c r="AI32" s="220" t="n">
        <f aca="false">Algae_electricity_factor/M32</f>
        <v>0.00190034297364724</v>
      </c>
      <c r="AJ32" s="220" t="n">
        <f aca="false">Algae_electricity_factor/N32</f>
        <v>0.00185012154526725</v>
      </c>
      <c r="AK32" s="220" t="n">
        <f aca="false">Algae_electricity_factor/O32</f>
        <v>0.00177846962274995</v>
      </c>
      <c r="AL32" s="220" t="n">
        <f aca="false">Algae_electricity_factor/P32</f>
        <v>0.00168337739539128</v>
      </c>
      <c r="AM32" s="220" t="n">
        <f aca="false">Algae_electricity_factor/Q32</f>
        <v>0.00156860542574167</v>
      </c>
      <c r="AN32" s="220" t="n">
        <f aca="false">Algae_electricity_factor/R32</f>
        <v>0.00144494347324491</v>
      </c>
      <c r="AO32" s="220" t="n">
        <f aca="false">Algae_electricity_factor/S32</f>
        <v>0.00132697893233954</v>
      </c>
      <c r="AP32" s="220" t="n">
        <f aca="false">Algae_electricity_factor/T32</f>
        <v>0.00122682175154113</v>
      </c>
      <c r="AQ32" s="220" t="n">
        <f aca="false">Algae_electricity_factor/U32</f>
        <v>0.00114985617649324</v>
      </c>
      <c r="AR32" s="220" t="n">
        <f aca="false">Algae_electricity_factor/V32</f>
        <v>0.00109512343212353</v>
      </c>
      <c r="AS32" s="220" t="n">
        <f aca="false">Algae_electricity_factor/W32</f>
        <v>0.00105831108619615</v>
      </c>
      <c r="AT32" s="220" t="n">
        <f aca="false">Algae_electricity_factor/X32</f>
        <v>0.00103447073279208</v>
      </c>
      <c r="AU32" s="220" t="n">
        <f aca="false">Algae_electricity_factor/Y32</f>
        <v>0.00101940734088726</v>
      </c>
      <c r="AV32" s="220" t="n">
        <f aca="false">Algae_electricity_factor/Z32</f>
        <v>0.00101003742427864</v>
      </c>
      <c r="AW32" s="220" t="n">
        <f aca="false">Algae_electricity_factor/AA32</f>
        <v>0.0010042656658162</v>
      </c>
      <c r="AX32" s="220" t="n">
        <f aca="false">Algae_electricity_factor/AB32</f>
        <v>0.00100073169008847</v>
      </c>
      <c r="AY32" s="220" t="n">
        <f aca="false">Algae_electricity_factor/AC32</f>
        <v>0.000998575858934878</v>
      </c>
      <c r="AZ32" s="221" t="n">
        <f aca="false">Algae_yield_cost_factor/H32</f>
        <v>0.110191908167868</v>
      </c>
      <c r="BA32" s="197" t="n">
        <f aca="false">Algae_yield_cost_factor/I32</f>
        <v>0.110191908167868</v>
      </c>
      <c r="BB32" s="197" t="n">
        <f aca="false">Algae_yield_cost_factor/J32</f>
        <v>0.110191908167868</v>
      </c>
      <c r="BC32" s="197" t="n">
        <f aca="false">Algae_yield_cost_factor/K32</f>
        <v>0.110191908167868</v>
      </c>
      <c r="BD32" s="197" t="n">
        <f aca="false">Algae_yield_cost_factor/L32</f>
        <v>0.110191908167868</v>
      </c>
      <c r="BE32" s="197" t="n">
        <f aca="false">Algae_yield_cost_factor/M32</f>
        <v>0.105202583771947</v>
      </c>
      <c r="BF32" s="197" t="n">
        <f aca="false">Algae_yield_cost_factor/N32</f>
        <v>0.102422336153722</v>
      </c>
      <c r="BG32" s="197" t="n">
        <f aca="false">Algae_yield_cost_factor/O32</f>
        <v>0.0984557009275662</v>
      </c>
      <c r="BH32" s="197" t="n">
        <f aca="false">Algae_yield_cost_factor/P32</f>
        <v>0.0931914153993801</v>
      </c>
      <c r="BI32" s="197" t="n">
        <f aca="false">Algae_yield_cost_factor/Q32</f>
        <v>0.0868376635139711</v>
      </c>
      <c r="BJ32" s="197" t="n">
        <f aca="false">Algae_yield_cost_factor/R32</f>
        <v>0.0799917640645821</v>
      </c>
      <c r="BK32" s="197" t="n">
        <f aca="false">Algae_yield_cost_factor/S32</f>
        <v>0.0734612721119119</v>
      </c>
      <c r="BL32" s="197" t="n">
        <f aca="false">Algae_yield_cost_factor/T32</f>
        <v>0.0679165918360752</v>
      </c>
      <c r="BM32" s="197" t="n">
        <f aca="false">Algae_yield_cost_factor/U32</f>
        <v>0.0636557939333722</v>
      </c>
      <c r="BN32" s="197" t="n">
        <f aca="false">Algae_yield_cost_factor/V32</f>
        <v>0.0606258008192496</v>
      </c>
      <c r="BO32" s="197" t="n">
        <f aca="false">Algae_yield_cost_factor/W32</f>
        <v>0.0585878771602194</v>
      </c>
      <c r="BP32" s="197" t="n">
        <f aca="false">Algae_yield_cost_factor/X32</f>
        <v>0.057268080254648</v>
      </c>
      <c r="BQ32" s="197" t="n">
        <f aca="false">Algae_yield_cost_factor/Y32</f>
        <v>0.05643417407522</v>
      </c>
      <c r="BR32" s="197" t="n">
        <f aca="false">Algae_yield_cost_factor/Z32</f>
        <v>0.0559154574800453</v>
      </c>
      <c r="BS32" s="197" t="n">
        <f aca="false">Algae_yield_cost_factor/AA32</f>
        <v>0.055595934156321</v>
      </c>
      <c r="BT32" s="197" t="n">
        <f aca="false">Algae_yield_cost_factor/AB32</f>
        <v>0.0554002940099365</v>
      </c>
      <c r="BU32" s="197" t="n">
        <f aca="false">Algae_yield_cost_factor/AC32</f>
        <v>0.0552809476547371</v>
      </c>
    </row>
    <row r="33" customFormat="false" ht="15" hidden="false" customHeight="false" outlineLevel="0" collapsed="false">
      <c r="A33" s="18" t="s">
        <v>696</v>
      </c>
      <c r="B33" s="18" t="s">
        <v>22</v>
      </c>
      <c r="C33" s="18" t="s">
        <v>691</v>
      </c>
      <c r="D33" s="18" t="s">
        <v>691</v>
      </c>
      <c r="E33" s="28" t="n">
        <v>7.279998</v>
      </c>
      <c r="F33" s="185" t="n">
        <f aca="false">E33/$B$2*$F$3/1000</f>
        <v>0.0178359951</v>
      </c>
      <c r="G33" s="18" t="n">
        <f aca="false">LOOKUP(RIGHT(D33,5),Ref!$C$4:$C$21,Ref!$E$4:$E$21)*$G$3</f>
        <v>2</v>
      </c>
      <c r="H33" s="218" t="n">
        <f aca="false">$E33</f>
        <v>7.279998</v>
      </c>
      <c r="I33" s="177" t="n">
        <f aca="false">$E33</f>
        <v>7.279998</v>
      </c>
      <c r="J33" s="177" t="n">
        <f aca="false">$E33</f>
        <v>7.279998</v>
      </c>
      <c r="K33" s="177" t="n">
        <f aca="false">$E33</f>
        <v>7.279998</v>
      </c>
      <c r="L33" s="177" t="n">
        <f aca="false">$E33</f>
        <v>7.279998</v>
      </c>
      <c r="M33" s="177" t="n">
        <f aca="false">M$3*$E33</f>
        <v>7.62525826188094</v>
      </c>
      <c r="N33" s="177" t="n">
        <f aca="false">N$3*$E33</f>
        <v>7.83224539883829</v>
      </c>
      <c r="O33" s="177" t="n">
        <f aca="false">O$3*$E33</f>
        <v>8.14779503391517</v>
      </c>
      <c r="P33" s="177" t="n">
        <f aca="false">P$3*$E33</f>
        <v>8.60805544845923</v>
      </c>
      <c r="Q33" s="177" t="n">
        <f aca="false">Q$3*$E33</f>
        <v>9.23789100969072</v>
      </c>
      <c r="R33" s="177" t="n">
        <f aca="false">R$3*$E33</f>
        <v>10.0284933137692</v>
      </c>
      <c r="S33" s="177" t="n">
        <f aca="false">S$3*$E33</f>
        <v>10.919997</v>
      </c>
      <c r="T33" s="177" t="n">
        <f aca="false">T$3*$E33</f>
        <v>11.8115006862308</v>
      </c>
      <c r="U33" s="177" t="n">
        <f aca="false">U$3*$E33</f>
        <v>12.6021029903093</v>
      </c>
      <c r="V33" s="177" t="n">
        <f aca="false">V$3*$E33</f>
        <v>13.2319385515408</v>
      </c>
      <c r="W33" s="177" t="n">
        <f aca="false">W$3*$E33</f>
        <v>13.6921989660848</v>
      </c>
      <c r="X33" s="177" t="n">
        <f aca="false">X$3*$E33</f>
        <v>14.0077486011617</v>
      </c>
      <c r="Y33" s="177" t="n">
        <f aca="false">Y$3*$E33</f>
        <v>14.2147357381191</v>
      </c>
      <c r="Z33" s="177" t="n">
        <f aca="false">Z$3*$E33</f>
        <v>14.3466030187546</v>
      </c>
      <c r="AA33" s="177" t="n">
        <f aca="false">AA$3*$E33</f>
        <v>14.4290564274484</v>
      </c>
      <c r="AB33" s="177" t="n">
        <f aca="false">AB$3*$E33</f>
        <v>14.4800110796232</v>
      </c>
      <c r="AC33" s="177" t="n">
        <f aca="false">AC$3*$E33</f>
        <v>14.5112720586569</v>
      </c>
      <c r="AD33" s="219" t="n">
        <f aca="false">Algae_electricity_factor/H33</f>
        <v>0.00188785726363239</v>
      </c>
      <c r="AE33" s="220" t="n">
        <f aca="false">Algae_electricity_factor/I33</f>
        <v>0.00188785726363239</v>
      </c>
      <c r="AF33" s="220" t="n">
        <f aca="false">Algae_electricity_factor/J33</f>
        <v>0.00188785726363239</v>
      </c>
      <c r="AG33" s="220" t="n">
        <f aca="false">Algae_electricity_factor/K33</f>
        <v>0.00188785726363239</v>
      </c>
      <c r="AH33" s="220" t="n">
        <f aca="false">Algae_electricity_factor/L33</f>
        <v>0.00188785726363239</v>
      </c>
      <c r="AI33" s="220" t="n">
        <f aca="false">Algae_electricity_factor/M33</f>
        <v>0.00180237791711714</v>
      </c>
      <c r="AJ33" s="220" t="n">
        <f aca="false">Algae_electricity_factor/N33</f>
        <v>0.00175474546616833</v>
      </c>
      <c r="AK33" s="220" t="n">
        <f aca="false">Algae_electricity_factor/O33</f>
        <v>0.00168678728985223</v>
      </c>
      <c r="AL33" s="220" t="n">
        <f aca="false">Algae_electricity_factor/P33</f>
        <v>0.00159659718571971</v>
      </c>
      <c r="AM33" s="220" t="n">
        <f aca="false">Algae_electricity_factor/Q33</f>
        <v>0.00148774185461941</v>
      </c>
      <c r="AN33" s="220" t="n">
        <f aca="false">Algae_electricity_factor/R33</f>
        <v>0.00137045483040401</v>
      </c>
      <c r="AO33" s="220" t="n">
        <f aca="false">Algae_electricity_factor/S33</f>
        <v>0.00125857150908826</v>
      </c>
      <c r="AP33" s="220" t="n">
        <f aca="false">Algae_electricity_factor/T33</f>
        <v>0.00116357755619917</v>
      </c>
      <c r="AQ33" s="220" t="n">
        <f aca="false">Algae_electricity_factor/U33</f>
        <v>0.00109057965278476</v>
      </c>
      <c r="AR33" s="220" t="n">
        <f aca="false">Algae_electricity_factor/V33</f>
        <v>0.00103866844982657</v>
      </c>
      <c r="AS33" s="220" t="n">
        <f aca="false">Algae_electricity_factor/W33</f>
        <v>0.00100375382636286</v>
      </c>
      <c r="AT33" s="220" t="n">
        <f aca="false">Algae_electricity_factor/X33</f>
        <v>0.000981142472987376</v>
      </c>
      <c r="AU33" s="220" t="n">
        <f aca="false">Algae_electricity_factor/Y33</f>
        <v>0.000966855617770905</v>
      </c>
      <c r="AV33" s="220" t="n">
        <f aca="false">Algae_electricity_factor/Z33</f>
        <v>0.000957968732079848</v>
      </c>
      <c r="AW33" s="220" t="n">
        <f aca="false">Algae_electricity_factor/AA33</f>
        <v>0.000952494514983309</v>
      </c>
      <c r="AX33" s="220" t="n">
        <f aca="false">Algae_electricity_factor/AB33</f>
        <v>0.000949142720123314</v>
      </c>
      <c r="AY33" s="220" t="n">
        <f aca="false">Algae_electricity_factor/AC33</f>
        <v>0.000947098024761401</v>
      </c>
      <c r="AZ33" s="221" t="n">
        <f aca="false">Algae_yield_cost_factor/H33</f>
        <v>0.104511377514969</v>
      </c>
      <c r="BA33" s="197" t="n">
        <f aca="false">Algae_yield_cost_factor/I33</f>
        <v>0.104511377514969</v>
      </c>
      <c r="BB33" s="197" t="n">
        <f aca="false">Algae_yield_cost_factor/J33</f>
        <v>0.104511377514969</v>
      </c>
      <c r="BC33" s="197" t="n">
        <f aca="false">Algae_yield_cost_factor/K33</f>
        <v>0.104511377514969</v>
      </c>
      <c r="BD33" s="197" t="n">
        <f aca="false">Algae_yield_cost_factor/L33</f>
        <v>0.104511377514969</v>
      </c>
      <c r="BE33" s="197" t="n">
        <f aca="false">Algae_yield_cost_factor/M33</f>
        <v>0.0997792590304396</v>
      </c>
      <c r="BF33" s="197" t="n">
        <f aca="false">Algae_yield_cost_factor/N33</f>
        <v>0.0971423366534287</v>
      </c>
      <c r="BG33" s="197" t="n">
        <f aca="false">Algae_yield_cost_factor/O33</f>
        <v>0.0933801864331654</v>
      </c>
      <c r="BH33" s="197" t="n">
        <f aca="false">Algae_yield_cost_factor/P33</f>
        <v>0.0883872814065577</v>
      </c>
      <c r="BI33" s="197" t="n">
        <f aca="false">Algae_yield_cost_factor/Q33</f>
        <v>0.0823610733757391</v>
      </c>
      <c r="BJ33" s="197" t="n">
        <f aca="false">Algae_yield_cost_factor/R33</f>
        <v>0.0758680886032579</v>
      </c>
      <c r="BK33" s="197" t="n">
        <f aca="false">Algae_yield_cost_factor/S33</f>
        <v>0.0696742516766459</v>
      </c>
      <c r="BL33" s="197" t="n">
        <f aca="false">Algae_yield_cost_factor/T33</f>
        <v>0.0644154066022418</v>
      </c>
      <c r="BM33" s="197" t="n">
        <f aca="false">Algae_yield_cost_factor/U33</f>
        <v>0.0603742581592364</v>
      </c>
      <c r="BN33" s="197" t="n">
        <f aca="false">Algae_yield_cost_factor/V33</f>
        <v>0.0575004649789295</v>
      </c>
      <c r="BO33" s="197" t="n">
        <f aca="false">Algae_yield_cost_factor/W33</f>
        <v>0.0555675988327954</v>
      </c>
      <c r="BP33" s="197" t="n">
        <f aca="false">Algae_yield_cost_factor/X33</f>
        <v>0.0543158391080147</v>
      </c>
      <c r="BQ33" s="197" t="n">
        <f aca="false">Algae_yield_cost_factor/Y33</f>
        <v>0.0535249218348744</v>
      </c>
      <c r="BR33" s="197" t="n">
        <f aca="false">Algae_yield_cost_factor/Z33</f>
        <v>0.0530329457287977</v>
      </c>
      <c r="BS33" s="197" t="n">
        <f aca="false">Algae_yield_cost_factor/AA33</f>
        <v>0.0527298942319518</v>
      </c>
      <c r="BT33" s="197" t="n">
        <f aca="false">Algae_yield_cost_factor/AB33</f>
        <v>0.0525443395797469</v>
      </c>
      <c r="BU33" s="197" t="n">
        <f aca="false">Algae_yield_cost_factor/AC33</f>
        <v>0.0524311456783919</v>
      </c>
    </row>
    <row r="34" customFormat="false" ht="15" hidden="false" customHeight="false" outlineLevel="0" collapsed="false">
      <c r="A34" s="18" t="s">
        <v>696</v>
      </c>
      <c r="B34" s="18" t="s">
        <v>22</v>
      </c>
      <c r="C34" s="18" t="s">
        <v>692</v>
      </c>
      <c r="D34" s="18" t="s">
        <v>692</v>
      </c>
      <c r="E34" s="28" t="n">
        <v>7.231015</v>
      </c>
      <c r="F34" s="185" t="n">
        <f aca="false">E34/$B$2*$F$3/1000</f>
        <v>0.01771598675</v>
      </c>
      <c r="G34" s="18" t="n">
        <f aca="false">LOOKUP(RIGHT(D34,5),Ref!$C$4:$C$21,Ref!$E$4:$E$21)*$G$3</f>
        <v>2.5</v>
      </c>
      <c r="H34" s="218" t="n">
        <f aca="false">$E34</f>
        <v>7.231015</v>
      </c>
      <c r="I34" s="177" t="n">
        <f aca="false">$E34</f>
        <v>7.231015</v>
      </c>
      <c r="J34" s="177" t="n">
        <f aca="false">$E34</f>
        <v>7.231015</v>
      </c>
      <c r="K34" s="177" t="n">
        <f aca="false">$E34</f>
        <v>7.231015</v>
      </c>
      <c r="L34" s="177" t="n">
        <f aca="false">$E34</f>
        <v>7.231015</v>
      </c>
      <c r="M34" s="177" t="n">
        <f aca="false">M$3*$E34</f>
        <v>7.57395220033508</v>
      </c>
      <c r="N34" s="177" t="n">
        <f aca="false">N$3*$E34</f>
        <v>7.77954663760631</v>
      </c>
      <c r="O34" s="177" t="n">
        <f aca="false">O$3*$E34</f>
        <v>8.09297311718576</v>
      </c>
      <c r="P34" s="177" t="n">
        <f aca="false">P$3*$E34</f>
        <v>8.55013669902662</v>
      </c>
      <c r="Q34" s="177" t="n">
        <f aca="false">Q$3*$E34</f>
        <v>9.17573445204776</v>
      </c>
      <c r="R34" s="177" t="n">
        <f aca="false">R$3*$E34</f>
        <v>9.96101723918942</v>
      </c>
      <c r="S34" s="177" t="n">
        <f aca="false">S$3*$E34</f>
        <v>10.8465225</v>
      </c>
      <c r="T34" s="177" t="n">
        <f aca="false">T$3*$E34</f>
        <v>11.7320277608106</v>
      </c>
      <c r="U34" s="177" t="n">
        <f aca="false">U$3*$E34</f>
        <v>12.5173105479522</v>
      </c>
      <c r="V34" s="177" t="n">
        <f aca="false">V$3*$E34</f>
        <v>13.1429083009734</v>
      </c>
      <c r="W34" s="177" t="n">
        <f aca="false">W$3*$E34</f>
        <v>13.6000718828142</v>
      </c>
      <c r="X34" s="177" t="n">
        <f aca="false">X$3*$E34</f>
        <v>13.9134983623937</v>
      </c>
      <c r="Y34" s="177" t="n">
        <f aca="false">Y$3*$E34</f>
        <v>14.1190927996649</v>
      </c>
      <c r="Z34" s="177" t="n">
        <f aca="false">Z$3*$E34</f>
        <v>14.2500728197535</v>
      </c>
      <c r="AA34" s="177" t="n">
        <f aca="false">AA$3*$E34</f>
        <v>14.331971445971</v>
      </c>
      <c r="AB34" s="177" t="n">
        <f aca="false">AB$3*$E34</f>
        <v>14.382583253034</v>
      </c>
      <c r="AC34" s="177" t="n">
        <f aca="false">AC$3*$E34</f>
        <v>14.4136338945737</v>
      </c>
      <c r="AD34" s="219" t="n">
        <f aca="false">Algae_electricity_factor/H34</f>
        <v>0.00190064563599014</v>
      </c>
      <c r="AE34" s="220" t="n">
        <f aca="false">Algae_electricity_factor/I34</f>
        <v>0.00190064563599014</v>
      </c>
      <c r="AF34" s="220" t="n">
        <f aca="false">Algae_electricity_factor/J34</f>
        <v>0.00190064563599014</v>
      </c>
      <c r="AG34" s="220" t="n">
        <f aca="false">Algae_electricity_factor/K34</f>
        <v>0.00190064563599014</v>
      </c>
      <c r="AH34" s="220" t="n">
        <f aca="false">Algae_electricity_factor/L34</f>
        <v>0.00190064563599014</v>
      </c>
      <c r="AI34" s="220" t="n">
        <f aca="false">Algae_electricity_factor/M34</f>
        <v>0.00181458725114759</v>
      </c>
      <c r="AJ34" s="220" t="n">
        <f aca="false">Algae_electricity_factor/N34</f>
        <v>0.0017666321372884</v>
      </c>
      <c r="AK34" s="220" t="n">
        <f aca="false">Algae_electricity_factor/O34</f>
        <v>0.00169821361130487</v>
      </c>
      <c r="AL34" s="220" t="n">
        <f aca="false">Algae_electricity_factor/P34</f>
        <v>0.00160741255810493</v>
      </c>
      <c r="AM34" s="220" t="n">
        <f aca="false">Algae_electricity_factor/Q34</f>
        <v>0.00149781983942028</v>
      </c>
      <c r="AN34" s="220" t="n">
        <f aca="false">Algae_electricity_factor/R34</f>
        <v>0.00137973831120963</v>
      </c>
      <c r="AO34" s="220" t="n">
        <f aca="false">Algae_electricity_factor/S34</f>
        <v>0.0012670970906601</v>
      </c>
      <c r="AP34" s="220" t="n">
        <f aca="false">Algae_electricity_factor/T34</f>
        <v>0.00117145964736276</v>
      </c>
      <c r="AQ34" s="220" t="n">
        <f aca="false">Algae_electricity_factor/U34</f>
        <v>0.00109796725509679</v>
      </c>
      <c r="AR34" s="220" t="n">
        <f aca="false">Algae_electricity_factor/V34</f>
        <v>0.00104570440490035</v>
      </c>
      <c r="AS34" s="220" t="n">
        <f aca="false">Algae_electricity_factor/W34</f>
        <v>0.00101055326927326</v>
      </c>
      <c r="AT34" s="220" t="n">
        <f aca="false">Algae_electricity_factor/X34</f>
        <v>0.000987788746263582</v>
      </c>
      <c r="AU34" s="220" t="n">
        <f aca="false">Algae_electricity_factor/Y34</f>
        <v>0.000973405111683623</v>
      </c>
      <c r="AV34" s="220" t="n">
        <f aca="false">Algae_electricity_factor/Z34</f>
        <v>0.0009644580261006</v>
      </c>
      <c r="AW34" s="220" t="n">
        <f aca="false">Algae_electricity_factor/AA34</f>
        <v>0.000958946726578421</v>
      </c>
      <c r="AX34" s="220" t="n">
        <f aca="false">Algae_electricity_factor/AB34</f>
        <v>0.000955572226611656</v>
      </c>
      <c r="AY34" s="220" t="n">
        <f aca="false">Algae_electricity_factor/AC34</f>
        <v>0.000953513680453843</v>
      </c>
      <c r="AZ34" s="221" t="n">
        <f aca="false">Algae_yield_cost_factor/H34</f>
        <v>0.105219339095026</v>
      </c>
      <c r="BA34" s="197" t="n">
        <f aca="false">Algae_yield_cost_factor/I34</f>
        <v>0.105219339095026</v>
      </c>
      <c r="BB34" s="197" t="n">
        <f aca="false">Algae_yield_cost_factor/J34</f>
        <v>0.105219339095026</v>
      </c>
      <c r="BC34" s="197" t="n">
        <f aca="false">Algae_yield_cost_factor/K34</f>
        <v>0.105219339095026</v>
      </c>
      <c r="BD34" s="197" t="n">
        <f aca="false">Algae_yield_cost_factor/L34</f>
        <v>0.105219339095026</v>
      </c>
      <c r="BE34" s="197" t="n">
        <f aca="false">Algae_yield_cost_factor/M34</f>
        <v>0.100455165171567</v>
      </c>
      <c r="BF34" s="197" t="n">
        <f aca="false">Algae_yield_cost_factor/N34</f>
        <v>0.0978003802443071</v>
      </c>
      <c r="BG34" s="197" t="n">
        <f aca="false">Algae_yield_cost_factor/O34</f>
        <v>0.0940127451641396</v>
      </c>
      <c r="BH34" s="197" t="n">
        <f aca="false">Algae_yield_cost_factor/P34</f>
        <v>0.088986018126802</v>
      </c>
      <c r="BI34" s="197" t="n">
        <f aca="false">Algae_yield_cost_factor/Q34</f>
        <v>0.0829189884757857</v>
      </c>
      <c r="BJ34" s="197" t="n">
        <f aca="false">Algae_yield_cost_factor/R34</f>
        <v>0.0763820201307202</v>
      </c>
      <c r="BK34" s="197" t="n">
        <f aca="false">Algae_yield_cost_factor/S34</f>
        <v>0.0701462260633505</v>
      </c>
      <c r="BL34" s="197" t="n">
        <f aca="false">Algae_yield_cost_factor/T34</f>
        <v>0.0648517574964936</v>
      </c>
      <c r="BM34" s="197" t="n">
        <f aca="false">Algae_yield_cost_factor/U34</f>
        <v>0.0607832342555955</v>
      </c>
      <c r="BN34" s="197" t="n">
        <f aca="false">Algae_yield_cost_factor/V34</f>
        <v>0.0578899739587979</v>
      </c>
      <c r="BO34" s="197" t="n">
        <f aca="false">Algae_yield_cost_factor/W34</f>
        <v>0.0559440145494862</v>
      </c>
      <c r="BP34" s="197" t="n">
        <f aca="false">Algae_yield_cost_factor/X34</f>
        <v>0.0546837753862589</v>
      </c>
      <c r="BQ34" s="197" t="n">
        <f aca="false">Algae_yield_cost_factor/Y34</f>
        <v>0.0538875004280923</v>
      </c>
      <c r="BR34" s="197" t="n">
        <f aca="false">Algae_yield_cost_factor/Z34</f>
        <v>0.0533921916687707</v>
      </c>
      <c r="BS34" s="197" t="n">
        <f aca="false">Algae_yield_cost_factor/AA34</f>
        <v>0.0530870872967101</v>
      </c>
      <c r="BT34" s="197" t="n">
        <f aca="false">Algae_yield_cost_factor/AB34</f>
        <v>0.0529002756946125</v>
      </c>
      <c r="BU34" s="197" t="n">
        <f aca="false">Algae_yield_cost_factor/AC34</f>
        <v>0.0527863150161356</v>
      </c>
    </row>
    <row r="35" customFormat="false" ht="15" hidden="false" customHeight="false" outlineLevel="0" collapsed="false">
      <c r="A35" s="18" t="s">
        <v>696</v>
      </c>
      <c r="B35" s="18" t="s">
        <v>22</v>
      </c>
      <c r="C35" s="18" t="s">
        <v>693</v>
      </c>
      <c r="D35" s="18" t="s">
        <v>693</v>
      </c>
      <c r="E35" s="28" t="n">
        <v>7.2271825</v>
      </c>
      <c r="F35" s="185" t="n">
        <f aca="false">E35/$B$2*$F$3/1000</f>
        <v>0.017706597125</v>
      </c>
      <c r="G35" s="18" t="n">
        <f aca="false">LOOKUP(RIGHT(D35,5),Ref!$C$4:$C$21,Ref!$E$4:$E$21)*$G$3</f>
        <v>3</v>
      </c>
      <c r="H35" s="218" t="n">
        <f aca="false">$E35</f>
        <v>7.2271825</v>
      </c>
      <c r="I35" s="177" t="n">
        <f aca="false">$E35</f>
        <v>7.2271825</v>
      </c>
      <c r="J35" s="177" t="n">
        <f aca="false">$E35</f>
        <v>7.2271825</v>
      </c>
      <c r="K35" s="177" t="n">
        <f aca="false">$E35</f>
        <v>7.2271825</v>
      </c>
      <c r="L35" s="177" t="n">
        <f aca="false">$E35</f>
        <v>7.2271825</v>
      </c>
      <c r="M35" s="177" t="n">
        <f aca="false">M$3*$E35</f>
        <v>7.56993794067613</v>
      </c>
      <c r="N35" s="177" t="n">
        <f aca="false">N$3*$E35</f>
        <v>7.77542341113138</v>
      </c>
      <c r="O35" s="177" t="n">
        <f aca="false">O$3*$E35</f>
        <v>8.08868377198711</v>
      </c>
      <c r="P35" s="177" t="n">
        <f aca="false">P$3*$E35</f>
        <v>8.54560505320663</v>
      </c>
      <c r="Q35" s="177" t="n">
        <f aca="false">Q$3*$E35</f>
        <v>9.17087123405035</v>
      </c>
      <c r="R35" s="177" t="n">
        <f aca="false">R$3*$E35</f>
        <v>9.95573781457625</v>
      </c>
      <c r="S35" s="177" t="n">
        <f aca="false">S$3*$E35</f>
        <v>10.84077375</v>
      </c>
      <c r="T35" s="177" t="n">
        <f aca="false">T$3*$E35</f>
        <v>11.7258096854237</v>
      </c>
      <c r="U35" s="177" t="n">
        <f aca="false">U$3*$E35</f>
        <v>12.5106762659496</v>
      </c>
      <c r="V35" s="177" t="n">
        <f aca="false">V$3*$E35</f>
        <v>13.1359424467934</v>
      </c>
      <c r="W35" s="177" t="n">
        <f aca="false">W$3*$E35</f>
        <v>13.5928637280129</v>
      </c>
      <c r="X35" s="177" t="n">
        <f aca="false">X$3*$E35</f>
        <v>13.9061240888686</v>
      </c>
      <c r="Y35" s="177" t="n">
        <f aca="false">Y$3*$E35</f>
        <v>14.1116095593239</v>
      </c>
      <c r="Z35" s="177" t="n">
        <f aca="false">Z$3*$E35</f>
        <v>14.2425201588778</v>
      </c>
      <c r="AA35" s="177" t="n">
        <f aca="false">AA$3*$E35</f>
        <v>14.3243753781206</v>
      </c>
      <c r="AB35" s="177" t="n">
        <f aca="false">AB$3*$E35</f>
        <v>14.3749603604917</v>
      </c>
      <c r="AC35" s="177" t="n">
        <f aca="false">AC$3*$E35</f>
        <v>14.4059945449249</v>
      </c>
      <c r="AD35" s="219" t="n">
        <f aca="false">Algae_electricity_factor/H35</f>
        <v>0.0019016535286786</v>
      </c>
      <c r="AE35" s="220" t="n">
        <f aca="false">Algae_electricity_factor/I35</f>
        <v>0.0019016535286786</v>
      </c>
      <c r="AF35" s="220" t="n">
        <f aca="false">Algae_electricity_factor/J35</f>
        <v>0.0019016535286786</v>
      </c>
      <c r="AG35" s="220" t="n">
        <f aca="false">Algae_electricity_factor/K35</f>
        <v>0.0019016535286786</v>
      </c>
      <c r="AH35" s="220" t="n">
        <f aca="false">Algae_electricity_factor/L35</f>
        <v>0.0019016535286786</v>
      </c>
      <c r="AI35" s="220" t="n">
        <f aca="false">Algae_electricity_factor/M35</f>
        <v>0.00181554950796621</v>
      </c>
      <c r="AJ35" s="220" t="n">
        <f aca="false">Algae_electricity_factor/N35</f>
        <v>0.001767568964007</v>
      </c>
      <c r="AK35" s="220" t="n">
        <f aca="false">Algae_electricity_factor/O35</f>
        <v>0.00169911415638801</v>
      </c>
      <c r="AL35" s="220" t="n">
        <f aca="false">Algae_electricity_factor/P35</f>
        <v>0.00160826495233034</v>
      </c>
      <c r="AM35" s="220" t="n">
        <f aca="false">Algae_electricity_factor/Q35</f>
        <v>0.00149861411776243</v>
      </c>
      <c r="AN35" s="220" t="n">
        <f aca="false">Algae_electricity_factor/R35</f>
        <v>0.00138046997214081</v>
      </c>
      <c r="AO35" s="220" t="n">
        <f aca="false">Algae_electricity_factor/S35</f>
        <v>0.00126776901911907</v>
      </c>
      <c r="AP35" s="220" t="n">
        <f aca="false">Algae_electricity_factor/T35</f>
        <v>0.00117208086027644</v>
      </c>
      <c r="AQ35" s="220" t="n">
        <f aca="false">Algae_electricity_factor/U35</f>
        <v>0.0010985494957563</v>
      </c>
      <c r="AR35" s="220" t="n">
        <f aca="false">Algae_electricity_factor/V35</f>
        <v>0.00104625893111188</v>
      </c>
      <c r="AS35" s="220" t="n">
        <f aca="false">Algae_electricity_factor/W35</f>
        <v>0.00101108915520176</v>
      </c>
      <c r="AT35" s="220" t="n">
        <f aca="false">Algae_electricity_factor/X35</f>
        <v>0.000988312560401395</v>
      </c>
      <c r="AU35" s="220" t="n">
        <f aca="false">Algae_electricity_factor/Y35</f>
        <v>0.000973921298329045</v>
      </c>
      <c r="AV35" s="220" t="n">
        <f aca="false">Algae_electricity_factor/Z35</f>
        <v>0.000964969468199237</v>
      </c>
      <c r="AW35" s="220" t="n">
        <f aca="false">Algae_electricity_factor/AA35</f>
        <v>0.000959455246092023</v>
      </c>
      <c r="AX35" s="220" t="n">
        <f aca="false">Algae_electricity_factor/AB35</f>
        <v>0.000956078956662888</v>
      </c>
      <c r="AY35" s="220" t="n">
        <f aca="false">Algae_electricity_factor/AC35</f>
        <v>0.000954019318879376</v>
      </c>
      <c r="AZ35" s="221" t="n">
        <f aca="false">Algae_yield_cost_factor/H35</f>
        <v>0.105275135820386</v>
      </c>
      <c r="BA35" s="197" t="n">
        <f aca="false">Algae_yield_cost_factor/I35</f>
        <v>0.105275135820386</v>
      </c>
      <c r="BB35" s="197" t="n">
        <f aca="false">Algae_yield_cost_factor/J35</f>
        <v>0.105275135820386</v>
      </c>
      <c r="BC35" s="197" t="n">
        <f aca="false">Algae_yield_cost_factor/K35</f>
        <v>0.105275135820386</v>
      </c>
      <c r="BD35" s="197" t="n">
        <f aca="false">Algae_yield_cost_factor/L35</f>
        <v>0.105275135820386</v>
      </c>
      <c r="BE35" s="197" t="n">
        <f aca="false">Algae_yield_cost_factor/M35</f>
        <v>0.100508435504857</v>
      </c>
      <c r="BF35" s="197" t="n">
        <f aca="false">Algae_yield_cost_factor/N35</f>
        <v>0.0978522427726556</v>
      </c>
      <c r="BG35" s="197" t="n">
        <f aca="false">Algae_yield_cost_factor/O35</f>
        <v>0.0940625991488483</v>
      </c>
      <c r="BH35" s="197" t="n">
        <f aca="false">Algae_yield_cost_factor/P35</f>
        <v>0.0890332064902439</v>
      </c>
      <c r="BI35" s="197" t="n">
        <f aca="false">Algae_yield_cost_factor/Q35</f>
        <v>0.0829629595562633</v>
      </c>
      <c r="BJ35" s="197" t="n">
        <f aca="false">Algae_yield_cost_factor/R35</f>
        <v>0.0764225247246129</v>
      </c>
      <c r="BK35" s="197" t="n">
        <f aca="false">Algae_yield_cost_factor/S35</f>
        <v>0.0701834238802574</v>
      </c>
      <c r="BL35" s="197" t="n">
        <f aca="false">Algae_yield_cost_factor/T35</f>
        <v>0.0648861477115746</v>
      </c>
      <c r="BM35" s="197" t="n">
        <f aca="false">Algae_yield_cost_factor/U35</f>
        <v>0.0608154669749553</v>
      </c>
      <c r="BN35" s="197" t="n">
        <f aca="false">Algae_yield_cost_factor/V35</f>
        <v>0.057920672412199</v>
      </c>
      <c r="BO35" s="197" t="n">
        <f aca="false">Algae_yield_cost_factor/W35</f>
        <v>0.0559736810807743</v>
      </c>
      <c r="BP35" s="197" t="n">
        <f aca="false">Algae_yield_cost_factor/X35</f>
        <v>0.0547127736257759</v>
      </c>
      <c r="BQ35" s="197" t="n">
        <f aca="false">Algae_yield_cost_factor/Y35</f>
        <v>0.053916076411249</v>
      </c>
      <c r="BR35" s="197" t="n">
        <f aca="false">Algae_yield_cost_factor/Z35</f>
        <v>0.0534205049948242</v>
      </c>
      <c r="BS35" s="197" t="n">
        <f aca="false">Algae_yield_cost_factor/AA35</f>
        <v>0.0531152388290763</v>
      </c>
      <c r="BT35" s="197" t="n">
        <f aca="false">Algae_yield_cost_factor/AB35</f>
        <v>0.0529283281627216</v>
      </c>
      <c r="BU35" s="197" t="n">
        <f aca="false">Algae_yield_cost_factor/AC35</f>
        <v>0.0528143070520776</v>
      </c>
    </row>
    <row r="36" customFormat="false" ht="15" hidden="false" customHeight="false" outlineLevel="0" collapsed="false">
      <c r="A36" s="18" t="s">
        <v>696</v>
      </c>
      <c r="B36" s="18" t="s">
        <v>22</v>
      </c>
      <c r="C36" s="18" t="s">
        <v>694</v>
      </c>
      <c r="D36" s="18" t="s">
        <v>694</v>
      </c>
      <c r="E36" s="28" t="n">
        <v>6.92332</v>
      </c>
      <c r="F36" s="185" t="n">
        <f aca="false">E36/$B$2*$F$3/1000</f>
        <v>0.016962134</v>
      </c>
      <c r="G36" s="18" t="n">
        <f aca="false">LOOKUP(RIGHT(D36,5),Ref!$C$4:$C$21,Ref!$E$4:$E$21)*$G$3</f>
        <v>3</v>
      </c>
      <c r="H36" s="218" t="n">
        <f aca="false">$E36</f>
        <v>6.92332</v>
      </c>
      <c r="I36" s="177" t="n">
        <f aca="false">$E36</f>
        <v>6.92332</v>
      </c>
      <c r="J36" s="177" t="n">
        <f aca="false">$E36</f>
        <v>6.92332</v>
      </c>
      <c r="K36" s="177" t="n">
        <f aca="false">$E36</f>
        <v>6.92332</v>
      </c>
      <c r="L36" s="177" t="n">
        <f aca="false">$E36</f>
        <v>6.92332</v>
      </c>
      <c r="M36" s="177" t="n">
        <f aca="false">M$3*$E36</f>
        <v>7.25166449628771</v>
      </c>
      <c r="N36" s="177" t="n">
        <f aca="false">N$3*$E36</f>
        <v>7.44851045490468</v>
      </c>
      <c r="O36" s="177" t="n">
        <f aca="false">O$3*$E36</f>
        <v>7.74859997409417</v>
      </c>
      <c r="P36" s="177" t="n">
        <f aca="false">P$3*$E36</f>
        <v>8.18631027747902</v>
      </c>
      <c r="Q36" s="177" t="n">
        <f aca="false">Q$3*$E36</f>
        <v>8.78528752139932</v>
      </c>
      <c r="R36" s="177" t="n">
        <f aca="false">R$3*$E36</f>
        <v>9.53715486310358</v>
      </c>
      <c r="S36" s="177" t="n">
        <f aca="false">S$3*$E36</f>
        <v>10.38498</v>
      </c>
      <c r="T36" s="177" t="n">
        <f aca="false">T$3*$E36</f>
        <v>11.2328051368964</v>
      </c>
      <c r="U36" s="177" t="n">
        <f aca="false">U$3*$E36</f>
        <v>11.9846724786007</v>
      </c>
      <c r="V36" s="177" t="n">
        <f aca="false">V$3*$E36</f>
        <v>12.583649722521</v>
      </c>
      <c r="W36" s="177" t="n">
        <f aca="false">W$3*$E36</f>
        <v>13.0213600259058</v>
      </c>
      <c r="X36" s="177" t="n">
        <f aca="false">X$3*$E36</f>
        <v>13.3214495450953</v>
      </c>
      <c r="Y36" s="177" t="n">
        <f aca="false">Y$3*$E36</f>
        <v>13.5182955037123</v>
      </c>
      <c r="Z36" s="177" t="n">
        <f aca="false">Z$3*$E36</f>
        <v>13.6437020465945</v>
      </c>
      <c r="AA36" s="177" t="n">
        <f aca="false">AA$3*$E36</f>
        <v>13.7221157128453</v>
      </c>
      <c r="AB36" s="177" t="n">
        <f aca="false">AB$3*$E36</f>
        <v>13.7705738803468</v>
      </c>
      <c r="AC36" s="177" t="n">
        <f aca="false">AC$3*$E36</f>
        <v>13.8003032513389</v>
      </c>
      <c r="AD36" s="219" t="n">
        <f aca="false">Algae_electricity_factor/H36</f>
        <v>0.00198511654863985</v>
      </c>
      <c r="AE36" s="220" t="n">
        <f aca="false">Algae_electricity_factor/I36</f>
        <v>0.00198511654863985</v>
      </c>
      <c r="AF36" s="220" t="n">
        <f aca="false">Algae_electricity_factor/J36</f>
        <v>0.00198511654863985</v>
      </c>
      <c r="AG36" s="220" t="n">
        <f aca="false">Algae_electricity_factor/K36</f>
        <v>0.00198511654863985</v>
      </c>
      <c r="AH36" s="220" t="n">
        <f aca="false">Algae_electricity_factor/L36</f>
        <v>0.00198511654863985</v>
      </c>
      <c r="AI36" s="220" t="n">
        <f aca="false">Algae_electricity_factor/M36</f>
        <v>0.00189523344751607</v>
      </c>
      <c r="AJ36" s="220" t="n">
        <f aca="false">Algae_electricity_factor/N36</f>
        <v>0.00184514705144562</v>
      </c>
      <c r="AK36" s="220" t="n">
        <f aca="false">Algae_electricity_factor/O36</f>
        <v>0.00177368778224171</v>
      </c>
      <c r="AL36" s="220" t="n">
        <f aca="false">Algae_electricity_factor/P36</f>
        <v>0.00167885123305656</v>
      </c>
      <c r="AM36" s="220" t="n">
        <f aca="false">Algae_electricity_factor/Q36</f>
        <v>0.00156438785526967</v>
      </c>
      <c r="AN36" s="220" t="n">
        <f aca="false">Algae_electricity_factor/R36</f>
        <v>0.0014410583974786</v>
      </c>
      <c r="AO36" s="220" t="n">
        <f aca="false">Algae_electricity_factor/S36</f>
        <v>0.00132341103242657</v>
      </c>
      <c r="AP36" s="220" t="n">
        <f aca="false">Algae_electricity_factor/T36</f>
        <v>0.00122352314813916</v>
      </c>
      <c r="AQ36" s="220" t="n">
        <f aca="false">Algae_electricity_factor/U36</f>
        <v>0.00114676451342907</v>
      </c>
      <c r="AR36" s="220" t="n">
        <f aca="false">Algae_electricity_factor/V36</f>
        <v>0.00109217893111983</v>
      </c>
      <c r="AS36" s="220" t="n">
        <f aca="false">Algae_electricity_factor/W36</f>
        <v>0.00105546556397999</v>
      </c>
      <c r="AT36" s="220" t="n">
        <f aca="false">Algae_electricity_factor/X36</f>
        <v>0.0010316893110622</v>
      </c>
      <c r="AU36" s="220" t="n">
        <f aca="false">Algae_electricity_factor/Y36</f>
        <v>0.00101666642068559</v>
      </c>
      <c r="AV36" s="220" t="n">
        <f aca="false">Algae_electricity_factor/Z36</f>
        <v>0.00100732169733651</v>
      </c>
      <c r="AW36" s="220" t="n">
        <f aca="false">Algae_electricity_factor/AA36</f>
        <v>0.00100156545762574</v>
      </c>
      <c r="AX36" s="220" t="n">
        <f aca="false">Algae_electricity_factor/AB36</f>
        <v>0.00099804098383612</v>
      </c>
      <c r="AY36" s="220" t="n">
        <f aca="false">Algae_electricity_factor/AC36</f>
        <v>0.000995890949149678</v>
      </c>
      <c r="AZ36" s="221" t="n">
        <f aca="false">Algae_yield_cost_factor/H36</f>
        <v>0.109895630894747</v>
      </c>
      <c r="BA36" s="197" t="n">
        <f aca="false">Algae_yield_cost_factor/I36</f>
        <v>0.109895630894747</v>
      </c>
      <c r="BB36" s="197" t="n">
        <f aca="false">Algae_yield_cost_factor/J36</f>
        <v>0.109895630894747</v>
      </c>
      <c r="BC36" s="197" t="n">
        <f aca="false">Algae_yield_cost_factor/K36</f>
        <v>0.109895630894747</v>
      </c>
      <c r="BD36" s="197" t="n">
        <f aca="false">Algae_yield_cost_factor/L36</f>
        <v>0.109895630894747</v>
      </c>
      <c r="BE36" s="197" t="n">
        <f aca="false">Algae_yield_cost_factor/M36</f>
        <v>0.104919721489557</v>
      </c>
      <c r="BF36" s="197" t="n">
        <f aca="false">Algae_yield_cost_factor/N36</f>
        <v>0.102146949231335</v>
      </c>
      <c r="BG36" s="197" t="n">
        <f aca="false">Algae_yield_cost_factor/O36</f>
        <v>0.0981909792517276</v>
      </c>
      <c r="BH36" s="197" t="n">
        <f aca="false">Algae_yield_cost_factor/P36</f>
        <v>0.0929408480129731</v>
      </c>
      <c r="BI36" s="197" t="n">
        <f aca="false">Algae_yield_cost_factor/Q36</f>
        <v>0.0866041797076018</v>
      </c>
      <c r="BJ36" s="197" t="n">
        <f aca="false">Algae_yield_cost_factor/R36</f>
        <v>0.0797766870945645</v>
      </c>
      <c r="BK36" s="197" t="n">
        <f aca="false">Algae_yield_cost_factor/S36</f>
        <v>0.0732637539298311</v>
      </c>
      <c r="BL36" s="197" t="n">
        <f aca="false">Algae_yield_cost_factor/T36</f>
        <v>0.0677339818516994</v>
      </c>
      <c r="BM36" s="197" t="n">
        <f aca="false">Algae_yield_cost_factor/U36</f>
        <v>0.0634846401221849</v>
      </c>
      <c r="BN36" s="197" t="n">
        <f aca="false">Algae_yield_cost_factor/V36</f>
        <v>0.060462793868502</v>
      </c>
      <c r="BO36" s="197" t="n">
        <f aca="false">Algae_yield_cost_factor/W36</f>
        <v>0.0584303496541476</v>
      </c>
      <c r="BP36" s="197" t="n">
        <f aca="false">Algae_yield_cost_factor/X36</f>
        <v>0.0571141013378941</v>
      </c>
      <c r="BQ36" s="197" t="n">
        <f aca="false">Algae_yield_cost_factor/Y36</f>
        <v>0.0562824373144736</v>
      </c>
      <c r="BR36" s="197" t="n">
        <f aca="false">Algae_yield_cost_factor/Z36</f>
        <v>0.0557651154128014</v>
      </c>
      <c r="BS36" s="197" t="n">
        <f aca="false">Algae_yield_cost_factor/AA36</f>
        <v>0.0554464512038762</v>
      </c>
      <c r="BT36" s="197" t="n">
        <f aca="false">Algae_yield_cost_factor/AB36</f>
        <v>0.0552513370827693</v>
      </c>
      <c r="BU36" s="197" t="n">
        <f aca="false">Algae_yield_cost_factor/AC36</f>
        <v>0.0551323116187611</v>
      </c>
    </row>
    <row r="37" customFormat="false" ht="15" hidden="false" customHeight="false" outlineLevel="0" collapsed="false">
      <c r="A37" s="18" t="s">
        <v>696</v>
      </c>
      <c r="B37" s="18" t="s">
        <v>22</v>
      </c>
      <c r="C37" s="18" t="s">
        <v>682</v>
      </c>
      <c r="D37" s="18" t="s">
        <v>682</v>
      </c>
      <c r="E37" s="28" t="n">
        <v>6.932445</v>
      </c>
      <c r="F37" s="185" t="n">
        <f aca="false">E37/$B$2*$F$3/1000</f>
        <v>0.01698449025</v>
      </c>
      <c r="G37" s="18" t="n">
        <f aca="false">LOOKUP(RIGHT(D37,5),Ref!$C$4:$C$21,Ref!$E$4:$E$21)*$G$3</f>
        <v>3</v>
      </c>
      <c r="H37" s="218" t="n">
        <f aca="false">$E37</f>
        <v>6.932445</v>
      </c>
      <c r="I37" s="177" t="n">
        <f aca="false">$E37</f>
        <v>6.932445</v>
      </c>
      <c r="J37" s="177" t="n">
        <f aca="false">$E37</f>
        <v>6.932445</v>
      </c>
      <c r="K37" s="177" t="n">
        <f aca="false">$E37</f>
        <v>6.932445</v>
      </c>
      <c r="L37" s="177" t="n">
        <f aca="false">$E37</f>
        <v>6.932445</v>
      </c>
      <c r="M37" s="177" t="n">
        <f aca="false">M$3*$E37</f>
        <v>7.26122225738046</v>
      </c>
      <c r="N37" s="177" t="n">
        <f aca="false">N$3*$E37</f>
        <v>7.45832766079737</v>
      </c>
      <c r="O37" s="177" t="n">
        <f aca="false">O$3*$E37</f>
        <v>7.75881270075762</v>
      </c>
      <c r="P37" s="177" t="n">
        <f aca="false">P$3*$E37</f>
        <v>8.19709991038376</v>
      </c>
      <c r="Q37" s="177" t="n">
        <f aca="false">Q$3*$E37</f>
        <v>8.79686661186932</v>
      </c>
      <c r="R37" s="177" t="n">
        <f aca="false">R$3*$E37</f>
        <v>9.54972492170636</v>
      </c>
      <c r="S37" s="177" t="n">
        <f aca="false">S$3*$E37</f>
        <v>10.3986675</v>
      </c>
      <c r="T37" s="177" t="n">
        <f aca="false">T$3*$E37</f>
        <v>11.2476100782936</v>
      </c>
      <c r="U37" s="177" t="n">
        <f aca="false">U$3*$E37</f>
        <v>12.0004683881307</v>
      </c>
      <c r="V37" s="177" t="n">
        <f aca="false">V$3*$E37</f>
        <v>12.6002350896162</v>
      </c>
      <c r="W37" s="177" t="n">
        <f aca="false">W$3*$E37</f>
        <v>13.0385222992424</v>
      </c>
      <c r="X37" s="177" t="n">
        <f aca="false">X$3*$E37</f>
        <v>13.3390073392026</v>
      </c>
      <c r="Y37" s="177" t="n">
        <f aca="false">Y$3*$E37</f>
        <v>13.5361127426195</v>
      </c>
      <c r="Z37" s="177" t="n">
        <f aca="false">Z$3*$E37</f>
        <v>13.6616845724889</v>
      </c>
      <c r="AA37" s="177" t="n">
        <f aca="false">AA$3*$E37</f>
        <v>13.7402015886794</v>
      </c>
      <c r="AB37" s="177" t="n">
        <f aca="false">AB$3*$E37</f>
        <v>13.7887236244953</v>
      </c>
      <c r="AC37" s="177" t="n">
        <f aca="false">AC$3*$E37</f>
        <v>13.8184921790742</v>
      </c>
      <c r="AD37" s="219" t="n">
        <f aca="false">Algae_electricity_factor/H37</f>
        <v>0.00198250359051233</v>
      </c>
      <c r="AE37" s="220" t="n">
        <f aca="false">Algae_electricity_factor/I37</f>
        <v>0.00198250359051233</v>
      </c>
      <c r="AF37" s="220" t="n">
        <f aca="false">Algae_electricity_factor/J37</f>
        <v>0.00198250359051233</v>
      </c>
      <c r="AG37" s="220" t="n">
        <f aca="false">Algae_electricity_factor/K37</f>
        <v>0.00198250359051233</v>
      </c>
      <c r="AH37" s="220" t="n">
        <f aca="false">Algae_electricity_factor/L37</f>
        <v>0.00198250359051233</v>
      </c>
      <c r="AI37" s="220" t="n">
        <f aca="false">Algae_electricity_factor/M37</f>
        <v>0.00189273880021507</v>
      </c>
      <c r="AJ37" s="220" t="n">
        <f aca="false">Algae_electricity_factor/N37</f>
        <v>0.0018427183315864</v>
      </c>
      <c r="AK37" s="220" t="n">
        <f aca="false">Algae_electricity_factor/O37</f>
        <v>0.00177135312239039</v>
      </c>
      <c r="AL37" s="220" t="n">
        <f aca="false">Algae_electricity_factor/P37</f>
        <v>0.00167664140412872</v>
      </c>
      <c r="AM37" s="220" t="n">
        <f aca="false">Algae_electricity_factor/Q37</f>
        <v>0.00156232869155768</v>
      </c>
      <c r="AN37" s="220" t="n">
        <f aca="false">Algae_electricity_factor/R37</f>
        <v>0.00143916156917675</v>
      </c>
      <c r="AO37" s="220" t="n">
        <f aca="false">Algae_electricity_factor/S37</f>
        <v>0.00132166906034155</v>
      </c>
      <c r="AP37" s="220" t="n">
        <f aca="false">Algae_electricity_factor/T37</f>
        <v>0.00122191265592079</v>
      </c>
      <c r="AQ37" s="220" t="n">
        <f aca="false">Algae_electricity_factor/U37</f>
        <v>0.00114525505663784</v>
      </c>
      <c r="AR37" s="220" t="n">
        <f aca="false">Algae_electricity_factor/V37</f>
        <v>0.00109074132393413</v>
      </c>
      <c r="AS37" s="220" t="n">
        <f aca="false">Algae_electricity_factor/W37</f>
        <v>0.00105407628166022</v>
      </c>
      <c r="AT37" s="220" t="n">
        <f aca="false">Algae_electricity_factor/X37</f>
        <v>0.00103033132481587</v>
      </c>
      <c r="AU37" s="220" t="n">
        <f aca="false">Algae_electricity_factor/Y37</f>
        <v>0.00101532820868553</v>
      </c>
      <c r="AV37" s="220" t="n">
        <f aca="false">Algae_electricity_factor/Z37</f>
        <v>0.00100599578555673</v>
      </c>
      <c r="AW37" s="220" t="n">
        <f aca="false">Algae_electricity_factor/AA37</f>
        <v>0.00100024712263703</v>
      </c>
      <c r="AX37" s="220" t="n">
        <f aca="false">Algae_electricity_factor/AB37</f>
        <v>0.000996727288022088</v>
      </c>
      <c r="AY37" s="220" t="n">
        <f aca="false">Algae_electricity_factor/AC37</f>
        <v>0.000994580083371299</v>
      </c>
      <c r="AZ37" s="221" t="n">
        <f aca="false">Algae_yield_cost_factor/H37</f>
        <v>0.109750978087272</v>
      </c>
      <c r="BA37" s="197" t="n">
        <f aca="false">Algae_yield_cost_factor/I37</f>
        <v>0.109750978087272</v>
      </c>
      <c r="BB37" s="197" t="n">
        <f aca="false">Algae_yield_cost_factor/J37</f>
        <v>0.109750978087272</v>
      </c>
      <c r="BC37" s="197" t="n">
        <f aca="false">Algae_yield_cost_factor/K37</f>
        <v>0.109750978087272</v>
      </c>
      <c r="BD37" s="197" t="n">
        <f aca="false">Algae_yield_cost_factor/L37</f>
        <v>0.109750978087272</v>
      </c>
      <c r="BE37" s="197" t="n">
        <f aca="false">Algae_yield_cost_factor/M37</f>
        <v>0.104781618344333</v>
      </c>
      <c r="BF37" s="197" t="n">
        <f aca="false">Algae_yield_cost_factor/N37</f>
        <v>0.102012495815299</v>
      </c>
      <c r="BG37" s="197" t="n">
        <f aca="false">Algae_yield_cost_factor/O37</f>
        <v>0.0980617329777692</v>
      </c>
      <c r="BH37" s="197" t="n">
        <f aca="false">Algae_yield_cost_factor/P37</f>
        <v>0.0928185123524495</v>
      </c>
      <c r="BI37" s="197" t="n">
        <f aca="false">Algae_yield_cost_factor/Q37</f>
        <v>0.0864901848414569</v>
      </c>
      <c r="BJ37" s="197" t="n">
        <f aca="false">Algae_yield_cost_factor/R37</f>
        <v>0.0796716790822776</v>
      </c>
      <c r="BK37" s="197" t="n">
        <f aca="false">Algae_yield_cost_factor/S37</f>
        <v>0.0731673187248479</v>
      </c>
      <c r="BL37" s="197" t="n">
        <f aca="false">Algae_yield_cost_factor/T37</f>
        <v>0.0676448253442339</v>
      </c>
      <c r="BM37" s="197" t="n">
        <f aca="false">Algae_yield_cost_factor/U37</f>
        <v>0.0634010769145265</v>
      </c>
      <c r="BN37" s="197" t="n">
        <f aca="false">Algae_yield_cost_factor/V37</f>
        <v>0.0603832082397591</v>
      </c>
      <c r="BO37" s="197" t="n">
        <f aca="false">Algae_yield_cost_factor/W37</f>
        <v>0.0583534392797279</v>
      </c>
      <c r="BP37" s="197" t="n">
        <f aca="false">Algae_yield_cost_factor/X37</f>
        <v>0.0570389235074594</v>
      </c>
      <c r="BQ37" s="197" t="n">
        <f aca="false">Algae_yield_cost_factor/Y37</f>
        <v>0.0562083541821164</v>
      </c>
      <c r="BR37" s="197" t="n">
        <f aca="false">Algae_yield_cost_factor/Z37</f>
        <v>0.0556917132180286</v>
      </c>
      <c r="BS37" s="197" t="n">
        <f aca="false">Algae_yield_cost_factor/AA37</f>
        <v>0.0553734684586492</v>
      </c>
      <c r="BT37" s="197" t="n">
        <f aca="false">Algae_yield_cost_factor/AB37</f>
        <v>0.0551786111612683</v>
      </c>
      <c r="BU37" s="197" t="n">
        <f aca="false">Algae_yield_cost_factor/AC37</f>
        <v>0.0550597423674333</v>
      </c>
    </row>
    <row r="38" customFormat="false" ht="15" hidden="false" customHeight="false" outlineLevel="0" collapsed="false">
      <c r="A38" s="18" t="s">
        <v>696</v>
      </c>
      <c r="B38" s="18" t="s">
        <v>22</v>
      </c>
      <c r="C38" s="18" t="s">
        <v>683</v>
      </c>
      <c r="D38" s="18" t="s">
        <v>683</v>
      </c>
      <c r="E38" s="28" t="n">
        <v>7.002525</v>
      </c>
      <c r="F38" s="185" t="n">
        <f aca="false">E38/$B$2*$F$3/1000</f>
        <v>0.01715618625</v>
      </c>
      <c r="G38" s="18" t="n">
        <f aca="false">LOOKUP(RIGHT(D38,5),Ref!$C$4:$C$21,Ref!$E$4:$E$21)*$G$3</f>
        <v>3</v>
      </c>
      <c r="H38" s="218" t="n">
        <f aca="false">$E38</f>
        <v>7.002525</v>
      </c>
      <c r="I38" s="177" t="n">
        <f aca="false">$E38</f>
        <v>7.002525</v>
      </c>
      <c r="J38" s="177" t="n">
        <f aca="false">$E38</f>
        <v>7.002525</v>
      </c>
      <c r="K38" s="177" t="n">
        <f aca="false">$E38</f>
        <v>7.002525</v>
      </c>
      <c r="L38" s="177" t="n">
        <f aca="false">$E38</f>
        <v>7.002525</v>
      </c>
      <c r="M38" s="177" t="n">
        <f aca="false">M$3*$E38</f>
        <v>7.33462586257274</v>
      </c>
      <c r="N38" s="177" t="n">
        <f aca="false">N$3*$E38</f>
        <v>7.53372380205326</v>
      </c>
      <c r="O38" s="177" t="n">
        <f aca="false">O$3*$E38</f>
        <v>7.83724644153293</v>
      </c>
      <c r="P38" s="177" t="n">
        <f aca="false">P$3*$E38</f>
        <v>8.27996429109211</v>
      </c>
      <c r="Q38" s="177" t="n">
        <f aca="false">Q$3*$E38</f>
        <v>8.88579402667893</v>
      </c>
      <c r="R38" s="177" t="n">
        <f aca="false">R$3*$E38</f>
        <v>9.64626297177573</v>
      </c>
      <c r="S38" s="177" t="n">
        <f aca="false">S$3*$E38</f>
        <v>10.5037875</v>
      </c>
      <c r="T38" s="177" t="n">
        <f aca="false">T$3*$E38</f>
        <v>11.3613120282243</v>
      </c>
      <c r="U38" s="177" t="n">
        <f aca="false">U$3*$E38</f>
        <v>12.1217809733211</v>
      </c>
      <c r="V38" s="177" t="n">
        <f aca="false">V$3*$E38</f>
        <v>12.7276107089079</v>
      </c>
      <c r="W38" s="177" t="n">
        <f aca="false">W$3*$E38</f>
        <v>13.1703285584671</v>
      </c>
      <c r="X38" s="177" t="n">
        <f aca="false">X$3*$E38</f>
        <v>13.4738511979467</v>
      </c>
      <c r="Y38" s="177" t="n">
        <f aca="false">Y$3*$E38</f>
        <v>13.6729491374273</v>
      </c>
      <c r="Z38" s="177" t="n">
        <f aca="false">Z$3*$E38</f>
        <v>13.7997903713579</v>
      </c>
      <c r="AA38" s="177" t="n">
        <f aca="false">AA$3*$E38</f>
        <v>13.8791011150852</v>
      </c>
      <c r="AB38" s="177" t="n">
        <f aca="false">AB$3*$E38</f>
        <v>13.9281136595557</v>
      </c>
      <c r="AC38" s="177" t="n">
        <f aca="false">AC$3*$E38</f>
        <v>13.9581831440814</v>
      </c>
      <c r="AD38" s="219" t="n">
        <f aca="false">Algae_electricity_factor/H38</f>
        <v>0.0019626630541882</v>
      </c>
      <c r="AE38" s="220" t="n">
        <f aca="false">Algae_electricity_factor/I38</f>
        <v>0.0019626630541882</v>
      </c>
      <c r="AF38" s="220" t="n">
        <f aca="false">Algae_electricity_factor/J38</f>
        <v>0.0019626630541882</v>
      </c>
      <c r="AG38" s="220" t="n">
        <f aca="false">Algae_electricity_factor/K38</f>
        <v>0.0019626630541882</v>
      </c>
      <c r="AH38" s="220" t="n">
        <f aca="false">Algae_electricity_factor/L38</f>
        <v>0.0019626630541882</v>
      </c>
      <c r="AI38" s="220" t="n">
        <f aca="false">Algae_electricity_factor/M38</f>
        <v>0.00187379661362965</v>
      </c>
      <c r="AJ38" s="220" t="n">
        <f aca="false">Algae_electricity_factor/N38</f>
        <v>0.00182427674077772</v>
      </c>
      <c r="AK38" s="220" t="n">
        <f aca="false">Algae_electricity_factor/O38</f>
        <v>0.00175362574165029</v>
      </c>
      <c r="AL38" s="220" t="n">
        <f aca="false">Algae_electricity_factor/P38</f>
        <v>0.00165986188108506</v>
      </c>
      <c r="AM38" s="220" t="n">
        <f aca="false">Algae_electricity_factor/Q38</f>
        <v>0.00154669318940605</v>
      </c>
      <c r="AN38" s="220" t="n">
        <f aca="false">Algae_electricity_factor/R38</f>
        <v>0.00142475870124441</v>
      </c>
      <c r="AO38" s="220" t="n">
        <f aca="false">Algae_electricity_factor/S38</f>
        <v>0.00130844203612547</v>
      </c>
      <c r="AP38" s="220" t="n">
        <f aca="false">Algae_electricity_factor/T38</f>
        <v>0.00120968397570517</v>
      </c>
      <c r="AQ38" s="220" t="n">
        <f aca="false">Algae_electricity_factor/U38</f>
        <v>0.00113379355177079</v>
      </c>
      <c r="AR38" s="220" t="n">
        <f aca="false">Algae_electricity_factor/V38</f>
        <v>0.00107982538261563</v>
      </c>
      <c r="AS38" s="220" t="n">
        <f aca="false">Algae_electricity_factor/W38</f>
        <v>0.00104352727743407</v>
      </c>
      <c r="AT38" s="220" t="n">
        <f aca="false">Algae_electricity_factor/X38</f>
        <v>0.00102001995581068</v>
      </c>
      <c r="AU38" s="220" t="n">
        <f aca="false">Algae_electricity_factor/Y38</f>
        <v>0.00100516698814513</v>
      </c>
      <c r="AV38" s="220" t="n">
        <f aca="false">Algae_electricity_factor/Z38</f>
        <v>0.000995927962214177</v>
      </c>
      <c r="AW38" s="220" t="n">
        <f aca="false">Algae_electricity_factor/AA38</f>
        <v>0.000990236830870216</v>
      </c>
      <c r="AX38" s="220" t="n">
        <f aca="false">Algae_electricity_factor/AB38</f>
        <v>0.000986752222121633</v>
      </c>
      <c r="AY38" s="220" t="n">
        <f aca="false">Algae_electricity_factor/AC38</f>
        <v>0.000984626506305503</v>
      </c>
      <c r="AZ38" s="221" t="n">
        <f aca="false">Algae_yield_cost_factor/H38</f>
        <v>0.108652610206492</v>
      </c>
      <c r="BA38" s="197" t="n">
        <f aca="false">Algae_yield_cost_factor/I38</f>
        <v>0.108652610206492</v>
      </c>
      <c r="BB38" s="197" t="n">
        <f aca="false">Algae_yield_cost_factor/J38</f>
        <v>0.108652610206492</v>
      </c>
      <c r="BC38" s="197" t="n">
        <f aca="false">Algae_yield_cost_factor/K38</f>
        <v>0.108652610206492</v>
      </c>
      <c r="BD38" s="197" t="n">
        <f aca="false">Algae_yield_cost_factor/L38</f>
        <v>0.108652610206492</v>
      </c>
      <c r="BE38" s="197" t="n">
        <f aca="false">Algae_yield_cost_factor/M38</f>
        <v>0.10373298291446</v>
      </c>
      <c r="BF38" s="197" t="n">
        <f aca="false">Algae_yield_cost_factor/N38</f>
        <v>0.1009915732614</v>
      </c>
      <c r="BG38" s="197" t="n">
        <f aca="false">Algae_yield_cost_factor/O38</f>
        <v>0.0970803489417133</v>
      </c>
      <c r="BH38" s="197" t="n">
        <f aca="false">Algae_yield_cost_factor/P38</f>
        <v>0.0918896015173351</v>
      </c>
      <c r="BI38" s="197" t="n">
        <f aca="false">Algae_yield_cost_factor/Q38</f>
        <v>0.0856246067601663</v>
      </c>
      <c r="BJ38" s="197" t="n">
        <f aca="false">Algae_yield_cost_factor/R38</f>
        <v>0.0788743393698045</v>
      </c>
      <c r="BK38" s="197" t="n">
        <f aca="false">Algae_yield_cost_factor/S38</f>
        <v>0.0724350734709949</v>
      </c>
      <c r="BL38" s="197" t="n">
        <f aca="false">Algae_yield_cost_factor/T38</f>
        <v>0.0669678482023995</v>
      </c>
      <c r="BM38" s="197" t="n">
        <f aca="false">Algae_yield_cost_factor/U38</f>
        <v>0.0627665704371959</v>
      </c>
      <c r="BN38" s="197" t="n">
        <f aca="false">Algae_yield_cost_factor/V38</f>
        <v>0.0597789040447092</v>
      </c>
      <c r="BO38" s="197" t="n">
        <f aca="false">Algae_yield_cost_factor/W38</f>
        <v>0.0577694486442466</v>
      </c>
      <c r="BP38" s="197" t="n">
        <f aca="false">Algae_yield_cost_factor/X38</f>
        <v>0.0564680883073847</v>
      </c>
      <c r="BQ38" s="197" t="n">
        <f aca="false">Algae_yield_cost_factor/Y38</f>
        <v>0.0556458311691913</v>
      </c>
      <c r="BR38" s="197" t="n">
        <f aca="false">Algae_yield_cost_factor/Z38</f>
        <v>0.0551343606541577</v>
      </c>
      <c r="BS38" s="197" t="n">
        <f aca="false">Algae_yield_cost_factor/AA38</f>
        <v>0.0548193008306033</v>
      </c>
      <c r="BT38" s="197" t="n">
        <f aca="false">Algae_yield_cost_factor/AB38</f>
        <v>0.0546263936297091</v>
      </c>
      <c r="BU38" s="197" t="n">
        <f aca="false">Algae_yield_cost_factor/AC38</f>
        <v>0.054508714453201</v>
      </c>
    </row>
    <row r="39" customFormat="false" ht="15" hidden="false" customHeight="false" outlineLevel="0" collapsed="false">
      <c r="A39" s="18" t="s">
        <v>696</v>
      </c>
      <c r="B39" s="18" t="s">
        <v>22</v>
      </c>
      <c r="C39" s="18" t="s">
        <v>684</v>
      </c>
      <c r="D39" s="18" t="s">
        <v>684</v>
      </c>
      <c r="E39" s="28" t="n">
        <v>7.208385</v>
      </c>
      <c r="F39" s="185" t="n">
        <f aca="false">E39/$B$2*$F$3/1000</f>
        <v>0.01766054325</v>
      </c>
      <c r="G39" s="18" t="n">
        <f aca="false">LOOKUP(RIGHT(D39,5),Ref!$C$4:$C$21,Ref!$E$4:$E$21)*$G$3</f>
        <v>3.5</v>
      </c>
      <c r="H39" s="218" t="n">
        <f aca="false">$E39</f>
        <v>7.208385</v>
      </c>
      <c r="I39" s="177" t="n">
        <f aca="false">$E39</f>
        <v>7.208385</v>
      </c>
      <c r="J39" s="177" t="n">
        <f aca="false">$E39</f>
        <v>7.208385</v>
      </c>
      <c r="K39" s="177" t="n">
        <f aca="false">$E39</f>
        <v>7.208385</v>
      </c>
      <c r="L39" s="177" t="n">
        <f aca="false">$E39</f>
        <v>7.208385</v>
      </c>
      <c r="M39" s="177" t="n">
        <f aca="false">M$3*$E39</f>
        <v>7.55024895282508</v>
      </c>
      <c r="N39" s="177" t="n">
        <f aca="false">N$3*$E39</f>
        <v>7.75519996699243</v>
      </c>
      <c r="O39" s="177" t="n">
        <f aca="false">O$3*$E39</f>
        <v>8.0676455550604</v>
      </c>
      <c r="P39" s="177" t="n">
        <f aca="false">P$3*$E39</f>
        <v>8.52337840942288</v>
      </c>
      <c r="Q39" s="177" t="n">
        <f aca="false">Q$3*$E39</f>
        <v>9.14701830768215</v>
      </c>
      <c r="R39" s="177" t="n">
        <f aca="false">R$3*$E39</f>
        <v>9.92984349385452</v>
      </c>
      <c r="S39" s="177" t="n">
        <f aca="false">S$3*$E39</f>
        <v>10.8125775</v>
      </c>
      <c r="T39" s="177" t="n">
        <f aca="false">T$3*$E39</f>
        <v>11.6953115061455</v>
      </c>
      <c r="U39" s="177" t="n">
        <f aca="false">U$3*$E39</f>
        <v>12.4781366923178</v>
      </c>
      <c r="V39" s="177" t="n">
        <f aca="false">V$3*$E39</f>
        <v>13.1017765905771</v>
      </c>
      <c r="W39" s="177" t="n">
        <f aca="false">W$3*$E39</f>
        <v>13.5575094449396</v>
      </c>
      <c r="X39" s="177" t="n">
        <f aca="false">X$3*$E39</f>
        <v>13.8699550330076</v>
      </c>
      <c r="Y39" s="177" t="n">
        <f aca="false">Y$3*$E39</f>
        <v>14.0749060471749</v>
      </c>
      <c r="Z39" s="177" t="n">
        <f aca="false">Z$3*$E39</f>
        <v>14.2054761555354</v>
      </c>
      <c r="AA39" s="177" t="n">
        <f aca="false">AA$3*$E39</f>
        <v>14.2871184739024</v>
      </c>
      <c r="AB39" s="177" t="n">
        <f aca="false">AB$3*$E39</f>
        <v>14.3375718875458</v>
      </c>
      <c r="AC39" s="177" t="n">
        <f aca="false">AC$3*$E39</f>
        <v>14.3685253537902</v>
      </c>
      <c r="AD39" s="219" t="n">
        <f aca="false">Algae_electricity_factor/H39</f>
        <v>0.00190661252187962</v>
      </c>
      <c r="AE39" s="220" t="n">
        <f aca="false">Algae_electricity_factor/I39</f>
        <v>0.00190661252187962</v>
      </c>
      <c r="AF39" s="220" t="n">
        <f aca="false">Algae_electricity_factor/J39</f>
        <v>0.00190661252187962</v>
      </c>
      <c r="AG39" s="220" t="n">
        <f aca="false">Algae_electricity_factor/K39</f>
        <v>0.00190661252187962</v>
      </c>
      <c r="AH39" s="220" t="n">
        <f aca="false">Algae_electricity_factor/L39</f>
        <v>0.00190661252187962</v>
      </c>
      <c r="AI39" s="220" t="n">
        <f aca="false">Algae_electricity_factor/M39</f>
        <v>0.00182028396538989</v>
      </c>
      <c r="AJ39" s="220" t="n">
        <f aca="false">Algae_electricity_factor/N39</f>
        <v>0.00177217830127199</v>
      </c>
      <c r="AK39" s="220" t="n">
        <f aca="false">Algae_electricity_factor/O39</f>
        <v>0.00170354498220471</v>
      </c>
      <c r="AL39" s="220" t="n">
        <f aca="false">Algae_electricity_factor/P39</f>
        <v>0.00161245886822709</v>
      </c>
      <c r="AM39" s="220" t="n">
        <f aca="false">Algae_electricity_factor/Q39</f>
        <v>0.00150252209422022</v>
      </c>
      <c r="AN39" s="220" t="n">
        <f aca="false">Algae_electricity_factor/R39</f>
        <v>0.00138406986092329</v>
      </c>
      <c r="AO39" s="220" t="n">
        <f aca="false">Algae_electricity_factor/S39</f>
        <v>0.00127107501458642</v>
      </c>
      <c r="AP39" s="220" t="n">
        <f aca="false">Algae_electricity_factor/T39</f>
        <v>0.00117513732715093</v>
      </c>
      <c r="AQ39" s="220" t="n">
        <f aca="false">Algae_electricity_factor/U39</f>
        <v>0.00110141421290813</v>
      </c>
      <c r="AR39" s="220" t="n">
        <f aca="false">Algae_electricity_factor/V39</f>
        <v>0.00104898728874783</v>
      </c>
      <c r="AS39" s="220" t="n">
        <f aca="false">Algae_electricity_factor/W39</f>
        <v>0.00101372579966442</v>
      </c>
      <c r="AT39" s="220" t="n">
        <f aca="false">Algae_electricity_factor/X39</f>
        <v>0.00099088980972342</v>
      </c>
      <c r="AU39" s="220" t="n">
        <f aca="false">Algae_electricity_factor/Y39</f>
        <v>0.00097646101916878</v>
      </c>
      <c r="AV39" s="220" t="n">
        <f aca="false">Algae_electricity_factor/Z39</f>
        <v>0.000967485845110081</v>
      </c>
      <c r="AW39" s="220" t="n">
        <f aca="false">Algae_electricity_factor/AA39</f>
        <v>0.00096195724341714</v>
      </c>
      <c r="AX39" s="220" t="n">
        <f aca="false">Algae_electricity_factor/AB39</f>
        <v>0.000958572149546991</v>
      </c>
      <c r="AY39" s="220" t="n">
        <f aca="false">Algae_electricity_factor/AC39</f>
        <v>0.000956507140790475</v>
      </c>
      <c r="AZ39" s="221" t="n">
        <f aca="false">Algae_yield_cost_factor/H39</f>
        <v>0.105549664631706</v>
      </c>
      <c r="BA39" s="197" t="n">
        <f aca="false">Algae_yield_cost_factor/I39</f>
        <v>0.105549664631706</v>
      </c>
      <c r="BB39" s="197" t="n">
        <f aca="false">Algae_yield_cost_factor/J39</f>
        <v>0.105549664631706</v>
      </c>
      <c r="BC39" s="197" t="n">
        <f aca="false">Algae_yield_cost_factor/K39</f>
        <v>0.105549664631706</v>
      </c>
      <c r="BD39" s="197" t="n">
        <f aca="false">Algae_yield_cost_factor/L39</f>
        <v>0.105549664631706</v>
      </c>
      <c r="BE39" s="197" t="n">
        <f aca="false">Algae_yield_cost_factor/M39</f>
        <v>0.100770534063189</v>
      </c>
      <c r="BF39" s="197" t="n">
        <f aca="false">Algae_yield_cost_factor/N39</f>
        <v>0.0981074147055531</v>
      </c>
      <c r="BG39" s="197" t="n">
        <f aca="false">Algae_yield_cost_factor/O39</f>
        <v>0.0943078887258479</v>
      </c>
      <c r="BH39" s="197" t="n">
        <f aca="false">Algae_yield_cost_factor/P39</f>
        <v>0.0892653807843473</v>
      </c>
      <c r="BI39" s="197" t="n">
        <f aca="false">Algae_yield_cost_factor/Q39</f>
        <v>0.083179304303701</v>
      </c>
      <c r="BJ39" s="197" t="n">
        <f aca="false">Algae_yield_cost_factor/R39</f>
        <v>0.0766218138037216</v>
      </c>
      <c r="BK39" s="197" t="n">
        <f aca="false">Algae_yield_cost_factor/S39</f>
        <v>0.0703664430878038</v>
      </c>
      <c r="BL39" s="197" t="n">
        <f aca="false">Algae_yield_cost_factor/T39</f>
        <v>0.0650553530691698</v>
      </c>
      <c r="BM39" s="197" t="n">
        <f aca="false">Algae_yield_cost_factor/U39</f>
        <v>0.060974057108593</v>
      </c>
      <c r="BN39" s="197" t="n">
        <f aca="false">Algae_yield_cost_factor/V39</f>
        <v>0.0580717137119725</v>
      </c>
      <c r="BO39" s="197" t="n">
        <f aca="false">Algae_yield_cost_factor/W39</f>
        <v>0.0561196451587357</v>
      </c>
      <c r="BP39" s="197" t="n">
        <f aca="false">Algae_yield_cost_factor/X39</f>
        <v>0.0548554496013558</v>
      </c>
      <c r="BQ39" s="197" t="n">
        <f aca="false">Algae_yield_cost_factor/Y39</f>
        <v>0.0540566748180129</v>
      </c>
      <c r="BR39" s="197" t="n">
        <f aca="false">Algae_yield_cost_factor/Z39</f>
        <v>0.0535598110866381</v>
      </c>
      <c r="BS39" s="197" t="n">
        <f aca="false">Algae_yield_cost_factor/AA39</f>
        <v>0.0532537488700757</v>
      </c>
      <c r="BT39" s="197" t="n">
        <f aca="false">Algae_yield_cost_factor/AB39</f>
        <v>0.0530663507917347</v>
      </c>
      <c r="BU39" s="197" t="n">
        <f aca="false">Algae_yield_cost_factor/AC39</f>
        <v>0.0529520323451649</v>
      </c>
    </row>
    <row r="40" customFormat="false" ht="15" hidden="false" customHeight="false" outlineLevel="0" collapsed="false">
      <c r="A40" s="18" t="s">
        <v>696</v>
      </c>
      <c r="B40" s="18" t="s">
        <v>22</v>
      </c>
      <c r="C40" s="18" t="s">
        <v>685</v>
      </c>
      <c r="D40" s="18" t="s">
        <v>685</v>
      </c>
      <c r="E40" s="28" t="n">
        <v>6.787175</v>
      </c>
      <c r="F40" s="185" t="n">
        <f aca="false">E40/$B$2*$F$3/1000</f>
        <v>0.01662857875</v>
      </c>
      <c r="G40" s="18" t="n">
        <f aca="false">LOOKUP(RIGHT(D40,5),Ref!$C$4:$C$21,Ref!$E$4:$E$21)*$G$3</f>
        <v>4</v>
      </c>
      <c r="H40" s="218" t="n">
        <f aca="false">$E40</f>
        <v>6.787175</v>
      </c>
      <c r="I40" s="177" t="n">
        <f aca="false">$E40</f>
        <v>6.787175</v>
      </c>
      <c r="J40" s="177" t="n">
        <f aca="false">$E40</f>
        <v>6.787175</v>
      </c>
      <c r="K40" s="177" t="n">
        <f aca="false">$E40</f>
        <v>6.787175</v>
      </c>
      <c r="L40" s="177" t="n">
        <f aca="false">$E40</f>
        <v>6.787175</v>
      </c>
      <c r="M40" s="177" t="n">
        <f aca="false">M$3*$E40</f>
        <v>7.10906270078395</v>
      </c>
      <c r="N40" s="177" t="n">
        <f aca="false">N$3*$E40</f>
        <v>7.30203774298568</v>
      </c>
      <c r="O40" s="177" t="n">
        <f aca="false">O$3*$E40</f>
        <v>7.59622609227547</v>
      </c>
      <c r="P40" s="177" t="n">
        <f aca="false">P$3*$E40</f>
        <v>8.02532895454041</v>
      </c>
      <c r="Q40" s="177" t="n">
        <f aca="false">Q$3*$E40</f>
        <v>8.6125274915869</v>
      </c>
      <c r="R40" s="177" t="n">
        <f aca="false">R$3*$E40</f>
        <v>9.34960958875005</v>
      </c>
      <c r="S40" s="177" t="n">
        <f aca="false">S$3*$E40</f>
        <v>10.1807625</v>
      </c>
      <c r="T40" s="177" t="n">
        <f aca="false">T$3*$E40</f>
        <v>11.0119154112499</v>
      </c>
      <c r="U40" s="177" t="n">
        <f aca="false">U$3*$E40</f>
        <v>11.7489975084131</v>
      </c>
      <c r="V40" s="177" t="n">
        <f aca="false">V$3*$E40</f>
        <v>12.3361960454596</v>
      </c>
      <c r="W40" s="177" t="n">
        <f aca="false">W$3*$E40</f>
        <v>12.7652989077245</v>
      </c>
      <c r="X40" s="177" t="n">
        <f aca="false">X$3*$E40</f>
        <v>13.0594872570143</v>
      </c>
      <c r="Y40" s="177" t="n">
        <f aca="false">Y$3*$E40</f>
        <v>13.252462299216</v>
      </c>
      <c r="Z40" s="177" t="n">
        <f aca="false">Z$3*$E40</f>
        <v>13.3754027602502</v>
      </c>
      <c r="AA40" s="177" t="n">
        <f aca="false">AA$3*$E40</f>
        <v>13.4522744454005</v>
      </c>
      <c r="AB40" s="177" t="n">
        <f aca="false">AB$3*$E40</f>
        <v>13.4997796976512</v>
      </c>
      <c r="AC40" s="177" t="n">
        <f aca="false">AC$3*$E40</f>
        <v>13.528924449528</v>
      </c>
      <c r="AD40" s="219" t="n">
        <f aca="false">Algae_electricity_factor/H40</f>
        <v>0.00202493631054588</v>
      </c>
      <c r="AE40" s="220" t="n">
        <f aca="false">Algae_electricity_factor/I40</f>
        <v>0.00202493631054588</v>
      </c>
      <c r="AF40" s="220" t="n">
        <f aca="false">Algae_electricity_factor/J40</f>
        <v>0.00202493631054588</v>
      </c>
      <c r="AG40" s="220" t="n">
        <f aca="false">Algae_electricity_factor/K40</f>
        <v>0.00202493631054588</v>
      </c>
      <c r="AH40" s="220" t="n">
        <f aca="false">Algae_electricity_factor/L40</f>
        <v>0.00202493631054588</v>
      </c>
      <c r="AI40" s="220" t="n">
        <f aca="false">Algae_electricity_factor/M40</f>
        <v>0.00193325023030303</v>
      </c>
      <c r="AJ40" s="220" t="n">
        <f aca="false">Algae_electricity_factor/N40</f>
        <v>0.001882159143416</v>
      </c>
      <c r="AK40" s="220" t="n">
        <f aca="false">Algae_electricity_factor/O40</f>
        <v>0.00180926646160585</v>
      </c>
      <c r="AL40" s="220" t="n">
        <f aca="false">Algae_electricity_factor/P40</f>
        <v>0.00171252757131578</v>
      </c>
      <c r="AM40" s="220" t="n">
        <f aca="false">Algae_electricity_factor/Q40</f>
        <v>0.00159576815481339</v>
      </c>
      <c r="AN40" s="220" t="n">
        <f aca="false">Algae_electricity_factor/R40</f>
        <v>0.0014699648122277</v>
      </c>
      <c r="AO40" s="220" t="n">
        <f aca="false">Algae_electricity_factor/S40</f>
        <v>0.00134995754036392</v>
      </c>
      <c r="AP40" s="220" t="n">
        <f aca="false">Algae_electricity_factor/T40</f>
        <v>0.00124806598945435</v>
      </c>
      <c r="AQ40" s="220" t="n">
        <f aca="false">Algae_electricity_factor/U40</f>
        <v>0.00116976764134028</v>
      </c>
      <c r="AR40" s="220" t="n">
        <f aca="false">Algae_electricity_factor/V40</f>
        <v>0.00111408711833723</v>
      </c>
      <c r="AS40" s="220" t="n">
        <f aca="false">Algae_electricity_factor/W40</f>
        <v>0.00107663731205015</v>
      </c>
      <c r="AT40" s="220" t="n">
        <f aca="false">Algae_electricity_factor/X40</f>
        <v>0.00105238412757342</v>
      </c>
      <c r="AU40" s="220" t="n">
        <f aca="false">Algae_electricity_factor/Y40</f>
        <v>0.00103705989069988</v>
      </c>
      <c r="AV40" s="220" t="n">
        <f aca="false">Algae_electricity_factor/Z40</f>
        <v>0.00102752772009029</v>
      </c>
      <c r="AW40" s="220" t="n">
        <f aca="false">Algae_electricity_factor/AA40</f>
        <v>0.00102165601507099</v>
      </c>
      <c r="AX40" s="220" t="n">
        <f aca="false">Algae_electricity_factor/AB40</f>
        <v>0.00101806084331291</v>
      </c>
      <c r="AY40" s="220" t="n">
        <f aca="false">Algae_electricity_factor/AC40</f>
        <v>0.00101586768074596</v>
      </c>
      <c r="AZ40" s="221" t="n">
        <f aca="false">Algae_yield_cost_factor/H40</f>
        <v>0.112100044464187</v>
      </c>
      <c r="BA40" s="197" t="n">
        <f aca="false">Algae_yield_cost_factor/I40</f>
        <v>0.112100044464187</v>
      </c>
      <c r="BB40" s="197" t="n">
        <f aca="false">Algae_yield_cost_factor/J40</f>
        <v>0.112100044464187</v>
      </c>
      <c r="BC40" s="197" t="n">
        <f aca="false">Algae_yield_cost_factor/K40</f>
        <v>0.112100044464187</v>
      </c>
      <c r="BD40" s="197" t="n">
        <f aca="false">Algae_yield_cost_factor/L40</f>
        <v>0.112100044464187</v>
      </c>
      <c r="BE40" s="197" t="n">
        <f aca="false">Algae_yield_cost_factor/M40</f>
        <v>0.107024322517554</v>
      </c>
      <c r="BF40" s="197" t="n">
        <f aca="false">Algae_yield_cost_factor/N40</f>
        <v>0.10419593078892</v>
      </c>
      <c r="BG40" s="197" t="n">
        <f aca="false">Algae_yield_cost_factor/O40</f>
        <v>0.100160607391598</v>
      </c>
      <c r="BH40" s="197" t="n">
        <f aca="false">Algae_yield_cost_factor/P40</f>
        <v>0.0948051629529483</v>
      </c>
      <c r="BI40" s="197" t="n">
        <f aca="false">Algae_yield_cost_factor/Q40</f>
        <v>0.0883413864315026</v>
      </c>
      <c r="BJ40" s="197" t="n">
        <f aca="false">Algae_yield_cost_factor/R40</f>
        <v>0.0813769400811884</v>
      </c>
      <c r="BK40" s="197" t="n">
        <f aca="false">Algae_yield_cost_factor/S40</f>
        <v>0.0747333629761246</v>
      </c>
      <c r="BL40" s="197" t="n">
        <f aca="false">Algae_yield_cost_factor/T40</f>
        <v>0.0690926683389639</v>
      </c>
      <c r="BM40" s="197" t="n">
        <f aca="false">Algae_yield_cost_factor/U40</f>
        <v>0.0647580884021297</v>
      </c>
      <c r="BN40" s="197" t="n">
        <f aca="false">Algae_yield_cost_factor/V40</f>
        <v>0.061675626463982</v>
      </c>
      <c r="BO40" s="197" t="n">
        <f aca="false">Algae_yield_cost_factor/W40</f>
        <v>0.0596024131347067</v>
      </c>
      <c r="BP40" s="197" t="n">
        <f aca="false">Algae_yield_cost_factor/X40</f>
        <v>0.0582597619885547</v>
      </c>
      <c r="BQ40" s="197" t="n">
        <f aca="false">Algae_yield_cost_factor/Y40</f>
        <v>0.0574114154870092</v>
      </c>
      <c r="BR40" s="197" t="n">
        <f aca="false">Algae_yield_cost_factor/Z40</f>
        <v>0.056883716544771</v>
      </c>
      <c r="BS40" s="197" t="n">
        <f aca="false">Algae_yield_cost_factor/AA40</f>
        <v>0.0565586602008671</v>
      </c>
      <c r="BT40" s="197" t="n">
        <f aca="false">Algae_yield_cost_factor/AB40</f>
        <v>0.0563596322552282</v>
      </c>
      <c r="BU40" s="197" t="n">
        <f aca="false">Algae_yield_cost_factor/AC40</f>
        <v>0.0562382192409068</v>
      </c>
    </row>
    <row r="41" customFormat="false" ht="15" hidden="false" customHeight="false" outlineLevel="0" collapsed="false">
      <c r="A41" s="18" t="s">
        <v>696</v>
      </c>
      <c r="B41" s="18" t="s">
        <v>22</v>
      </c>
      <c r="C41" s="18" t="s">
        <v>686</v>
      </c>
      <c r="D41" s="18" t="s">
        <v>686</v>
      </c>
      <c r="E41" s="28" t="n">
        <v>7.09122</v>
      </c>
      <c r="F41" s="185" t="n">
        <f aca="false">E41/$B$2*$F$3/1000</f>
        <v>0.017373489</v>
      </c>
      <c r="G41" s="18" t="n">
        <f aca="false">LOOKUP(RIGHT(D41,5),Ref!$C$4:$C$21,Ref!$E$4:$E$21)*$G$3</f>
        <v>4.5</v>
      </c>
      <c r="H41" s="218" t="n">
        <f aca="false">$E41</f>
        <v>7.09122</v>
      </c>
      <c r="I41" s="177" t="n">
        <f aca="false">$E41</f>
        <v>7.09122</v>
      </c>
      <c r="J41" s="177" t="n">
        <f aca="false">$E41</f>
        <v>7.09122</v>
      </c>
      <c r="K41" s="177" t="n">
        <f aca="false">$E41</f>
        <v>7.09122</v>
      </c>
      <c r="L41" s="177" t="n">
        <f aca="false">$E41</f>
        <v>7.09122</v>
      </c>
      <c r="M41" s="177" t="n">
        <f aca="false">M$3*$E41</f>
        <v>7.42752730039422</v>
      </c>
      <c r="N41" s="177" t="n">
        <f aca="false">N$3*$E41</f>
        <v>7.62914704333024</v>
      </c>
      <c r="O41" s="177" t="n">
        <f aca="false">O$3*$E41</f>
        <v>7.93651414470168</v>
      </c>
      <c r="P41" s="177" t="n">
        <f aca="false">P$3*$E41</f>
        <v>8.38483952292611</v>
      </c>
      <c r="Q41" s="177" t="n">
        <f aca="false">Q$3*$E41</f>
        <v>8.99834278604734</v>
      </c>
      <c r="R41" s="177" t="n">
        <f aca="false">R$3*$E41</f>
        <v>9.76844394139479</v>
      </c>
      <c r="S41" s="177" t="n">
        <f aca="false">S$3*$E41</f>
        <v>10.63683</v>
      </c>
      <c r="T41" s="177" t="n">
        <f aca="false">T$3*$E41</f>
        <v>11.5052160586052</v>
      </c>
      <c r="U41" s="177" t="n">
        <f aca="false">U$3*$E41</f>
        <v>12.2753172139527</v>
      </c>
      <c r="V41" s="177" t="n">
        <f aca="false">V$3*$E41</f>
        <v>12.8888204770739</v>
      </c>
      <c r="W41" s="177" t="n">
        <f aca="false">W$3*$E41</f>
        <v>13.3371458552983</v>
      </c>
      <c r="X41" s="177" t="n">
        <f aca="false">X$3*$E41</f>
        <v>13.6445129566698</v>
      </c>
      <c r="Y41" s="177" t="n">
        <f aca="false">Y$3*$E41</f>
        <v>13.8461326996058</v>
      </c>
      <c r="Z41" s="177" t="n">
        <f aca="false">Z$3*$E41</f>
        <v>13.9745805230514</v>
      </c>
      <c r="AA41" s="177" t="n">
        <f aca="false">AA$3*$E41</f>
        <v>14.0548958281926</v>
      </c>
      <c r="AB41" s="177" t="n">
        <f aca="false">AB$3*$E41</f>
        <v>14.1045291726791</v>
      </c>
      <c r="AC41" s="177" t="n">
        <f aca="false">AC$3*$E41</f>
        <v>14.1349795216687</v>
      </c>
      <c r="AD41" s="219" t="n">
        <f aca="false">Algae_electricity_factor/H41</f>
        <v>0.00193811461265188</v>
      </c>
      <c r="AE41" s="220" t="n">
        <f aca="false">Algae_electricity_factor/I41</f>
        <v>0.00193811461265188</v>
      </c>
      <c r="AF41" s="220" t="n">
        <f aca="false">Algae_electricity_factor/J41</f>
        <v>0.00193811461265188</v>
      </c>
      <c r="AG41" s="220" t="n">
        <f aca="false">Algae_electricity_factor/K41</f>
        <v>0.00193811461265188</v>
      </c>
      <c r="AH41" s="220" t="n">
        <f aca="false">Algae_electricity_factor/L41</f>
        <v>0.00193811461265188</v>
      </c>
      <c r="AI41" s="220" t="n">
        <f aca="false">Algae_electricity_factor/M41</f>
        <v>0.00185035968872168</v>
      </c>
      <c r="AJ41" s="220" t="n">
        <f aca="false">Algae_electricity_factor/N41</f>
        <v>0.0018014591966142</v>
      </c>
      <c r="AK41" s="220" t="n">
        <f aca="false">Algae_electricity_factor/O41</f>
        <v>0.00173169188045917</v>
      </c>
      <c r="AL41" s="220" t="n">
        <f aca="false">Algae_electricity_factor/P41</f>
        <v>0.00163910079208446</v>
      </c>
      <c r="AM41" s="220" t="n">
        <f aca="false">Algae_electricity_factor/Q41</f>
        <v>0.00152734758280601</v>
      </c>
      <c r="AN41" s="220" t="n">
        <f aca="false">Algae_electricity_factor/R41</f>
        <v>0.00140693821718005</v>
      </c>
      <c r="AO41" s="220" t="n">
        <f aca="false">Algae_electricity_factor/S41</f>
        <v>0.00129207640843459</v>
      </c>
      <c r="AP41" s="220" t="n">
        <f aca="false">Algae_electricity_factor/T41</f>
        <v>0.00119455358626228</v>
      </c>
      <c r="AQ41" s="220" t="n">
        <f aca="false">Algae_electricity_factor/U41</f>
        <v>0.00111961237856303</v>
      </c>
      <c r="AR41" s="220" t="n">
        <f aca="false">Algae_electricity_factor/V41</f>
        <v>0.00106631922820058</v>
      </c>
      <c r="AS41" s="220" t="n">
        <f aca="false">Algae_electricity_factor/W41</f>
        <v>0.00103047512958475</v>
      </c>
      <c r="AT41" s="220" t="n">
        <f aca="false">Algae_electricity_factor/X41</f>
        <v>0.00100726183097734</v>
      </c>
      <c r="AU41" s="220" t="n">
        <f aca="false">Algae_electricity_factor/Y41</f>
        <v>0.000992594640084633</v>
      </c>
      <c r="AV41" s="220" t="n">
        <f aca="false">Algae_electricity_factor/Z41</f>
        <v>0.000983471173310634</v>
      </c>
      <c r="AW41" s="220" t="n">
        <f aca="false">Algae_electricity_factor/AA41</f>
        <v>0.000977851225048646</v>
      </c>
      <c r="AX41" s="220" t="n">
        <f aca="false">Algae_electricity_factor/AB41</f>
        <v>0.000974410200813441</v>
      </c>
      <c r="AY41" s="220" t="n">
        <f aca="false">Algae_electricity_factor/AC41</f>
        <v>0.000972311072857272</v>
      </c>
      <c r="AZ41" s="221" t="n">
        <f aca="false">Algae_yield_cost_factor/H41</f>
        <v>0.107293613692174</v>
      </c>
      <c r="BA41" s="197" t="n">
        <f aca="false">Algae_yield_cost_factor/I41</f>
        <v>0.107293613692174</v>
      </c>
      <c r="BB41" s="197" t="n">
        <f aca="false">Algae_yield_cost_factor/J41</f>
        <v>0.107293613692174</v>
      </c>
      <c r="BC41" s="197" t="n">
        <f aca="false">Algae_yield_cost_factor/K41</f>
        <v>0.107293613692174</v>
      </c>
      <c r="BD41" s="197" t="n">
        <f aca="false">Algae_yield_cost_factor/L41</f>
        <v>0.107293613692174</v>
      </c>
      <c r="BE41" s="197" t="n">
        <f aca="false">Algae_yield_cost_factor/M41</f>
        <v>0.102435519724826</v>
      </c>
      <c r="BF41" s="197" t="n">
        <f aca="false">Algae_yield_cost_factor/N41</f>
        <v>0.0997283988583471</v>
      </c>
      <c r="BG41" s="197" t="n">
        <f aca="false">Algae_yield_cost_factor/O41</f>
        <v>0.0958660950404967</v>
      </c>
      <c r="BH41" s="197" t="n">
        <f aca="false">Algae_yield_cost_factor/P41</f>
        <v>0.0907402720357255</v>
      </c>
      <c r="BI41" s="197" t="n">
        <f aca="false">Algae_yield_cost_factor/Q41</f>
        <v>0.0845536380838888</v>
      </c>
      <c r="BJ41" s="197" t="n">
        <f aca="false">Algae_yield_cost_factor/R41</f>
        <v>0.0778878011534743</v>
      </c>
      <c r="BK41" s="197" t="n">
        <f aca="false">Algae_yield_cost_factor/S41</f>
        <v>0.0715290757947826</v>
      </c>
      <c r="BL41" s="197" t="n">
        <f aca="false">Algae_yield_cost_factor/T41</f>
        <v>0.0661302330534812</v>
      </c>
      <c r="BM41" s="197" t="n">
        <f aca="false">Algae_yield_cost_factor/U41</f>
        <v>0.0619815036976324</v>
      </c>
      <c r="BN41" s="197" t="n">
        <f aca="false">Algae_yield_cost_factor/V41</f>
        <v>0.0590312062022722</v>
      </c>
      <c r="BO41" s="197" t="n">
        <f aca="false">Algae_yield_cost_factor/W41</f>
        <v>0.0570468845089495</v>
      </c>
      <c r="BP41" s="197" t="n">
        <f aca="false">Algae_yield_cost_factor/X41</f>
        <v>0.0557618012238612</v>
      </c>
      <c r="BQ41" s="197" t="n">
        <f aca="false">Algae_yield_cost_factor/Y41</f>
        <v>0.0549498286483908</v>
      </c>
      <c r="BR41" s="197" t="n">
        <f aca="false">Algae_yield_cost_factor/Z41</f>
        <v>0.0544447554637645</v>
      </c>
      <c r="BS41" s="197" t="n">
        <f aca="false">Algae_yield_cost_factor/AA41</f>
        <v>0.0541336363205232</v>
      </c>
      <c r="BT41" s="197" t="n">
        <f aca="false">Algae_yield_cost_factor/AB41</f>
        <v>0.053943141949041</v>
      </c>
      <c r="BU41" s="197" t="n">
        <f aca="false">Algae_yield_cost_factor/AC41</f>
        <v>0.0538269346708185</v>
      </c>
    </row>
    <row r="42" customFormat="false" ht="15" hidden="false" customHeight="false" outlineLevel="0" collapsed="false">
      <c r="A42" s="18" t="s">
        <v>696</v>
      </c>
      <c r="B42" s="18" t="s">
        <v>22</v>
      </c>
      <c r="C42" s="18" t="s">
        <v>687</v>
      </c>
      <c r="D42" s="18" t="s">
        <v>687</v>
      </c>
      <c r="E42" s="28" t="n">
        <v>7.054866</v>
      </c>
      <c r="F42" s="185" t="n">
        <f aca="false">E42/$B$2*$F$3/1000</f>
        <v>0.0172844217</v>
      </c>
      <c r="G42" s="18" t="n">
        <f aca="false">LOOKUP(RIGHT(D42,5),Ref!$C$4:$C$21,Ref!$E$4:$E$21)*$G$3</f>
        <v>4.5</v>
      </c>
      <c r="H42" s="218" t="n">
        <f aca="false">$E42</f>
        <v>7.054866</v>
      </c>
      <c r="I42" s="177" t="n">
        <f aca="false">$E42</f>
        <v>7.054866</v>
      </c>
      <c r="J42" s="177" t="n">
        <f aca="false">$E42</f>
        <v>7.054866</v>
      </c>
      <c r="K42" s="177" t="n">
        <f aca="false">$E42</f>
        <v>7.054866</v>
      </c>
      <c r="L42" s="177" t="n">
        <f aca="false">$E42</f>
        <v>7.054866</v>
      </c>
      <c r="M42" s="177" t="n">
        <f aca="false">M$3*$E42</f>
        <v>7.38944918020073</v>
      </c>
      <c r="N42" s="177" t="n">
        <f aca="false">N$3*$E42</f>
        <v>7.59003529505375</v>
      </c>
      <c r="O42" s="177" t="n">
        <f aca="false">O$3*$E42</f>
        <v>7.89582664167449</v>
      </c>
      <c r="P42" s="177" t="n">
        <f aca="false">P$3*$E42</f>
        <v>8.34185362543365</v>
      </c>
      <c r="Q42" s="177" t="n">
        <f aca="false">Q$3*$E42</f>
        <v>8.95221168961485</v>
      </c>
      <c r="R42" s="177" t="n">
        <f aca="false">R$3*$E42</f>
        <v>9.7183648279213</v>
      </c>
      <c r="S42" s="177" t="n">
        <f aca="false">S$3*$E42</f>
        <v>10.582299</v>
      </c>
      <c r="T42" s="177" t="n">
        <f aca="false">T$3*$E42</f>
        <v>11.4462331720787</v>
      </c>
      <c r="U42" s="177" t="n">
        <f aca="false">U$3*$E42</f>
        <v>12.2123863103851</v>
      </c>
      <c r="V42" s="177" t="n">
        <f aca="false">V$3*$E42</f>
        <v>12.8227443745663</v>
      </c>
      <c r="W42" s="177" t="n">
        <f aca="false">W$3*$E42</f>
        <v>13.2687713583255</v>
      </c>
      <c r="X42" s="177" t="n">
        <f aca="false">X$3*$E42</f>
        <v>13.5745627049463</v>
      </c>
      <c r="Y42" s="177" t="n">
        <f aca="false">Y$3*$E42</f>
        <v>13.7751488197993</v>
      </c>
      <c r="Z42" s="177" t="n">
        <f aca="false">Z$3*$E42</f>
        <v>13.9029381398881</v>
      </c>
      <c r="AA42" s="177" t="n">
        <f aca="false">AA$3*$E42</f>
        <v>13.9828416988696</v>
      </c>
      <c r="AB42" s="177" t="n">
        <f aca="false">AB$3*$E42</f>
        <v>14.0322205919915</v>
      </c>
      <c r="AC42" s="177" t="n">
        <f aca="false">AC$3*$E42</f>
        <v>14.0625148335712</v>
      </c>
      <c r="AD42" s="219" t="n">
        <f aca="false">Algae_electricity_factor/H42</f>
        <v>0.00194810179293686</v>
      </c>
      <c r="AE42" s="220" t="n">
        <f aca="false">Algae_electricity_factor/I42</f>
        <v>0.00194810179293686</v>
      </c>
      <c r="AF42" s="220" t="n">
        <f aca="false">Algae_electricity_factor/J42</f>
        <v>0.00194810179293686</v>
      </c>
      <c r="AG42" s="220" t="n">
        <f aca="false">Algae_electricity_factor/K42</f>
        <v>0.00194810179293686</v>
      </c>
      <c r="AH42" s="220" t="n">
        <f aca="false">Algae_electricity_factor/L42</f>
        <v>0.00194810179293686</v>
      </c>
      <c r="AI42" s="220" t="n">
        <f aca="false">Algae_electricity_factor/M42</f>
        <v>0.0018598946644567</v>
      </c>
      <c r="AJ42" s="220" t="n">
        <f aca="false">Algae_electricity_factor/N42</f>
        <v>0.00181074218620375</v>
      </c>
      <c r="AK42" s="220" t="n">
        <f aca="false">Algae_electricity_factor/O42</f>
        <v>0.00174061535634407</v>
      </c>
      <c r="AL42" s="220" t="n">
        <f aca="false">Algae_electricity_factor/P42</f>
        <v>0.00164754714247516</v>
      </c>
      <c r="AM42" s="220" t="n">
        <f aca="false">Algae_electricity_factor/Q42</f>
        <v>0.00153521806454518</v>
      </c>
      <c r="AN42" s="220" t="n">
        <f aca="false">Algae_electricity_factor/R42</f>
        <v>0.00141418822475601</v>
      </c>
      <c r="AO42" s="220" t="n">
        <f aca="false">Algae_electricity_factor/S42</f>
        <v>0.00129873452862457</v>
      </c>
      <c r="AP42" s="220" t="n">
        <f aca="false">Algae_electricity_factor/T42</f>
        <v>0.00120070916754122</v>
      </c>
      <c r="AQ42" s="220" t="n">
        <f aca="false">Algae_electricity_factor/U42</f>
        <v>0.00112538178487213</v>
      </c>
      <c r="AR42" s="220" t="n">
        <f aca="false">Algae_electricity_factor/V42</f>
        <v>0.0010718140128247</v>
      </c>
      <c r="AS42" s="220" t="n">
        <f aca="false">Algae_electricity_factor/W42</f>
        <v>0.00103578520816894</v>
      </c>
      <c r="AT42" s="220" t="n">
        <f aca="false">Algae_electricity_factor/X42</f>
        <v>0.0010124522905273</v>
      </c>
      <c r="AU42" s="220" t="n">
        <f aca="false">Algae_electricity_factor/Y42</f>
        <v>0.000997709519027144</v>
      </c>
      <c r="AV42" s="220" t="n">
        <f aca="false">Algae_electricity_factor/Z42</f>
        <v>0.000988539038672575</v>
      </c>
      <c r="AW42" s="220" t="n">
        <f aca="false">Algae_electricity_factor/AA42</f>
        <v>0.000982890130597727</v>
      </c>
      <c r="AX42" s="220" t="n">
        <f aca="false">Algae_electricity_factor/AB42</f>
        <v>0.00097943137463026</v>
      </c>
      <c r="AY42" s="220" t="n">
        <f aca="false">Algae_electricity_factor/AC42</f>
        <v>0.00097732142978576</v>
      </c>
      <c r="AZ42" s="221" t="n">
        <f aca="false">Algae_yield_cost_factor/H42</f>
        <v>0.10784650187349</v>
      </c>
      <c r="BA42" s="197" t="n">
        <f aca="false">Algae_yield_cost_factor/I42</f>
        <v>0.10784650187349</v>
      </c>
      <c r="BB42" s="197" t="n">
        <f aca="false">Algae_yield_cost_factor/J42</f>
        <v>0.10784650187349</v>
      </c>
      <c r="BC42" s="197" t="n">
        <f aca="false">Algae_yield_cost_factor/K42</f>
        <v>0.10784650187349</v>
      </c>
      <c r="BD42" s="197" t="n">
        <f aca="false">Algae_yield_cost_factor/L42</f>
        <v>0.10784650187349</v>
      </c>
      <c r="BE42" s="197" t="n">
        <f aca="false">Algae_yield_cost_factor/M42</f>
        <v>0.102963373958213</v>
      </c>
      <c r="BF42" s="197" t="n">
        <f aca="false">Algae_yield_cost_factor/N42</f>
        <v>0.100242303192192</v>
      </c>
      <c r="BG42" s="197" t="n">
        <f aca="false">Algae_yield_cost_factor/O42</f>
        <v>0.0963600967719403</v>
      </c>
      <c r="BH42" s="197" t="n">
        <f aca="false">Algae_yield_cost_factor/P42</f>
        <v>0.0912078602010551</v>
      </c>
      <c r="BI42" s="197" t="n">
        <f aca="false">Algae_yield_cost_factor/Q42</f>
        <v>0.0849893462828683</v>
      </c>
      <c r="BJ42" s="197" t="n">
        <f aca="false">Algae_yield_cost_factor/R42</f>
        <v>0.0782891600344415</v>
      </c>
      <c r="BK42" s="197" t="n">
        <f aca="false">Algae_yield_cost_factor/S42</f>
        <v>0.0718976679156597</v>
      </c>
      <c r="BL42" s="197" t="n">
        <f aca="false">Algae_yield_cost_factor/T42</f>
        <v>0.0664710047268803</v>
      </c>
      <c r="BM42" s="197" t="n">
        <f aca="false">Algae_yield_cost_factor/U42</f>
        <v>0.0623008968066474</v>
      </c>
      <c r="BN42" s="197" t="n">
        <f aca="false">Algae_yield_cost_factor/V42</f>
        <v>0.0593353963130805</v>
      </c>
      <c r="BO42" s="197" t="n">
        <f aca="false">Algae_yield_cost_factor/W42</f>
        <v>0.0573408493325817</v>
      </c>
      <c r="BP42" s="197" t="n">
        <f aca="false">Algae_yield_cost_factor/X42</f>
        <v>0.0560491439631411</v>
      </c>
      <c r="BQ42" s="197" t="n">
        <f aca="false">Algae_yield_cost_factor/Y42</f>
        <v>0.0552329872612806</v>
      </c>
      <c r="BR42" s="197" t="n">
        <f aca="false">Algae_yield_cost_factor/Z42</f>
        <v>0.0547253114148101</v>
      </c>
      <c r="BS42" s="197" t="n">
        <f aca="false">Algae_yield_cost_factor/AA42</f>
        <v>0.0544125890624741</v>
      </c>
      <c r="BT42" s="197" t="n">
        <f aca="false">Algae_yield_cost_factor/AB42</f>
        <v>0.0542211130660566</v>
      </c>
      <c r="BU42" s="197" t="n">
        <f aca="false">Algae_yield_cost_factor/AC42</f>
        <v>0.0541043069671914</v>
      </c>
    </row>
    <row r="43" customFormat="false" ht="15" hidden="false" customHeight="false" outlineLevel="0" collapsed="false">
      <c r="A43" s="18" t="s">
        <v>697</v>
      </c>
      <c r="B43" s="18" t="s">
        <v>22</v>
      </c>
      <c r="C43" s="18" t="s">
        <v>690</v>
      </c>
      <c r="D43" s="18" t="s">
        <v>690</v>
      </c>
      <c r="E43" s="28" t="n">
        <v>7.2311975</v>
      </c>
      <c r="F43" s="185" t="n">
        <f aca="false">E43/$B$2*$F$3/1000</f>
        <v>0.017716433875</v>
      </c>
      <c r="G43" s="18" t="n">
        <f aca="false">LOOKUP(RIGHT(D43,5),Ref!$C$4:$C$21,Ref!$E$4:$E$21)*$G$3</f>
        <v>1.5</v>
      </c>
      <c r="H43" s="218" t="n">
        <f aca="false">$E43</f>
        <v>7.2311975</v>
      </c>
      <c r="I43" s="177" t="n">
        <f aca="false">$E43</f>
        <v>7.2311975</v>
      </c>
      <c r="J43" s="177" t="n">
        <f aca="false">$E43</f>
        <v>7.2311975</v>
      </c>
      <c r="K43" s="177" t="n">
        <f aca="false">$E43</f>
        <v>7.2311975</v>
      </c>
      <c r="L43" s="177" t="n">
        <f aca="false">$E43</f>
        <v>7.2311975</v>
      </c>
      <c r="M43" s="177" t="n">
        <f aca="false">M$3*$E43</f>
        <v>7.57414335555694</v>
      </c>
      <c r="N43" s="177" t="n">
        <f aca="false">N$3*$E43</f>
        <v>7.77974298172417</v>
      </c>
      <c r="O43" s="177" t="n">
        <f aca="false">O$3*$E43</f>
        <v>8.09317737171903</v>
      </c>
      <c r="P43" s="177" t="n">
        <f aca="false">P$3*$E43</f>
        <v>8.55035249168471</v>
      </c>
      <c r="Q43" s="177" t="n">
        <f aca="false">Q$3*$E43</f>
        <v>9.17596603385716</v>
      </c>
      <c r="R43" s="177" t="n">
        <f aca="false">R$3*$E43</f>
        <v>9.96126864036148</v>
      </c>
      <c r="S43" s="177" t="n">
        <f aca="false">S$3*$E43</f>
        <v>10.84679625</v>
      </c>
      <c r="T43" s="177" t="n">
        <f aca="false">T$3*$E43</f>
        <v>11.7323238596385</v>
      </c>
      <c r="U43" s="177" t="n">
        <f aca="false">U$3*$E43</f>
        <v>12.5176264661428</v>
      </c>
      <c r="V43" s="177" t="n">
        <f aca="false">V$3*$E43</f>
        <v>13.1432400083153</v>
      </c>
      <c r="W43" s="177" t="n">
        <f aca="false">W$3*$E43</f>
        <v>13.600415128281</v>
      </c>
      <c r="X43" s="177" t="n">
        <f aca="false">X$3*$E43</f>
        <v>13.9138495182758</v>
      </c>
      <c r="Y43" s="177" t="n">
        <f aca="false">Y$3*$E43</f>
        <v>14.1194491444431</v>
      </c>
      <c r="Z43" s="177" t="n">
        <f aca="false">Z$3*$E43</f>
        <v>14.2504324702714</v>
      </c>
      <c r="AA43" s="177" t="n">
        <f aca="false">AA$3*$E43</f>
        <v>14.3323331634877</v>
      </c>
      <c r="AB43" s="177" t="n">
        <f aca="false">AB$3*$E43</f>
        <v>14.382946247917</v>
      </c>
      <c r="AC43" s="177" t="n">
        <f aca="false">AC$3*$E43</f>
        <v>14.4139976731284</v>
      </c>
      <c r="AD43" s="219" t="n">
        <f aca="false">Algae_electricity_factor/H43</f>
        <v>0.00190059766774857</v>
      </c>
      <c r="AE43" s="220" t="n">
        <f aca="false">Algae_electricity_factor/I43</f>
        <v>0.00190059766774857</v>
      </c>
      <c r="AF43" s="220" t="n">
        <f aca="false">Algae_electricity_factor/J43</f>
        <v>0.00190059766774857</v>
      </c>
      <c r="AG43" s="220" t="n">
        <f aca="false">Algae_electricity_factor/K43</f>
        <v>0.00190059766774857</v>
      </c>
      <c r="AH43" s="220" t="n">
        <f aca="false">Algae_electricity_factor/L43</f>
        <v>0.00190059766774857</v>
      </c>
      <c r="AI43" s="220" t="n">
        <f aca="false">Algae_electricity_factor/M43</f>
        <v>0.00181454145483607</v>
      </c>
      <c r="AJ43" s="220" t="n">
        <f aca="false">Algae_electricity_factor/N43</f>
        <v>0.00176658755126167</v>
      </c>
      <c r="AK43" s="220" t="n">
        <f aca="false">Algae_electricity_factor/O43</f>
        <v>0.00169817075201579</v>
      </c>
      <c r="AL43" s="220" t="n">
        <f aca="false">Algae_electricity_factor/P43</f>
        <v>0.00160737199044075</v>
      </c>
      <c r="AM43" s="220" t="n">
        <f aca="false">Algae_electricity_factor/Q43</f>
        <v>0.00149778203764253</v>
      </c>
      <c r="AN43" s="220" t="n">
        <f aca="false">Algae_electricity_factor/R43</f>
        <v>0.00137970348955778</v>
      </c>
      <c r="AO43" s="220" t="n">
        <f aca="false">Algae_electricity_factor/S43</f>
        <v>0.00126706511183238</v>
      </c>
      <c r="AP43" s="220" t="n">
        <f aca="false">Algae_electricity_factor/T43</f>
        <v>0.00117143008222011</v>
      </c>
      <c r="AQ43" s="220" t="n">
        <f aca="false">Algae_electricity_factor/U43</f>
        <v>0.00109793954474535</v>
      </c>
      <c r="AR43" s="220" t="n">
        <f aca="false">Algae_electricity_factor/V43</f>
        <v>0.00104567801355177</v>
      </c>
      <c r="AS43" s="220" t="n">
        <f aca="false">Algae_electricity_factor/W43</f>
        <v>0.00101052776506436</v>
      </c>
      <c r="AT43" s="220" t="n">
        <f aca="false">Algae_electricity_factor/X43</f>
        <v>0.000987763816582683</v>
      </c>
      <c r="AU43" s="220" t="n">
        <f aca="false">Algae_electricity_factor/Y43</f>
        <v>0.000973380545014978</v>
      </c>
      <c r="AV43" s="220" t="n">
        <f aca="false">Algae_electricity_factor/Z43</f>
        <v>0.000964433685237311</v>
      </c>
      <c r="AW43" s="220" t="n">
        <f aca="false">Algae_electricity_factor/AA43</f>
        <v>0.000958922524808576</v>
      </c>
      <c r="AX43" s="220" t="n">
        <f aca="false">Algae_electricity_factor/AB43</f>
        <v>0.000955548110006992</v>
      </c>
      <c r="AY43" s="220" t="n">
        <f aca="false">Algae_electricity_factor/AC43</f>
        <v>0.000953489615802493</v>
      </c>
      <c r="AZ43" s="221" t="n">
        <f aca="false">Algae_yield_cost_factor/H43</f>
        <v>0.105216683583351</v>
      </c>
      <c r="BA43" s="197" t="n">
        <f aca="false">Algae_yield_cost_factor/I43</f>
        <v>0.105216683583351</v>
      </c>
      <c r="BB43" s="197" t="n">
        <f aca="false">Algae_yield_cost_factor/J43</f>
        <v>0.105216683583351</v>
      </c>
      <c r="BC43" s="197" t="n">
        <f aca="false">Algae_yield_cost_factor/K43</f>
        <v>0.105216683583351</v>
      </c>
      <c r="BD43" s="197" t="n">
        <f aca="false">Algae_yield_cost_factor/L43</f>
        <v>0.105216683583351</v>
      </c>
      <c r="BE43" s="197" t="n">
        <f aca="false">Algae_yield_cost_factor/M43</f>
        <v>0.10045262989748</v>
      </c>
      <c r="BF43" s="197" t="n">
        <f aca="false">Algae_yield_cost_factor/N43</f>
        <v>0.0977979119713281</v>
      </c>
      <c r="BG43" s="197" t="n">
        <f aca="false">Algae_yield_cost_factor/O43</f>
        <v>0.0940103724829907</v>
      </c>
      <c r="BH43" s="197" t="n">
        <f aca="false">Algae_yield_cost_factor/P43</f>
        <v>0.088983772309521</v>
      </c>
      <c r="BI43" s="197" t="n">
        <f aca="false">Algae_yield_cost_factor/Q43</f>
        <v>0.0829168957773915</v>
      </c>
      <c r="BJ43" s="197" t="n">
        <f aca="false">Algae_yield_cost_factor/R43</f>
        <v>0.076380092411463</v>
      </c>
      <c r="BK43" s="197" t="n">
        <f aca="false">Algae_yield_cost_factor/S43</f>
        <v>0.0701444557222339</v>
      </c>
      <c r="BL43" s="197" t="n">
        <f aca="false">Algae_yield_cost_factor/T43</f>
        <v>0.0648501207764699</v>
      </c>
      <c r="BM43" s="197" t="n">
        <f aca="false">Algae_yield_cost_factor/U43</f>
        <v>0.0607817002164199</v>
      </c>
      <c r="BN43" s="197" t="n">
        <f aca="false">Algae_yield_cost_factor/V43</f>
        <v>0.0578885129393405</v>
      </c>
      <c r="BO43" s="197" t="n">
        <f aca="false">Algae_yield_cost_factor/W43</f>
        <v>0.0559426026418934</v>
      </c>
      <c r="BP43" s="197" t="n">
        <f aca="false">Algae_yield_cost_factor/X43</f>
        <v>0.0546823952844144</v>
      </c>
      <c r="BQ43" s="197" t="n">
        <f aca="false">Algae_yield_cost_factor/Y43</f>
        <v>0.0538861404225291</v>
      </c>
      <c r="BR43" s="197" t="n">
        <f aca="false">Algae_yield_cost_factor/Z43</f>
        <v>0.0533908441637441</v>
      </c>
      <c r="BS43" s="197" t="n">
        <f aca="false">Algae_yield_cost_factor/AA43</f>
        <v>0.0530857474918671</v>
      </c>
      <c r="BT43" s="197" t="n">
        <f aca="false">Algae_yield_cost_factor/AB43</f>
        <v>0.0528989406044958</v>
      </c>
      <c r="BU43" s="197" t="n">
        <f aca="false">Algae_yield_cost_factor/AC43</f>
        <v>0.0527849828021433</v>
      </c>
    </row>
    <row r="44" customFormat="false" ht="15" hidden="false" customHeight="false" outlineLevel="0" collapsed="false">
      <c r="A44" s="18" t="s">
        <v>697</v>
      </c>
      <c r="B44" s="18" t="s">
        <v>22</v>
      </c>
      <c r="C44" s="18" t="s">
        <v>691</v>
      </c>
      <c r="D44" s="18" t="s">
        <v>691</v>
      </c>
      <c r="E44" s="28" t="n">
        <v>5.12589575</v>
      </c>
      <c r="F44" s="185" t="n">
        <f aca="false">E44/$B$2*$F$3/1000</f>
        <v>0.0125584445875</v>
      </c>
      <c r="G44" s="18" t="n">
        <f aca="false">LOOKUP(RIGHT(D44,5),Ref!$C$4:$C$21,Ref!$E$4:$E$21)*$G$3</f>
        <v>2</v>
      </c>
      <c r="H44" s="218" t="n">
        <f aca="false">$E44</f>
        <v>5.12589575</v>
      </c>
      <c r="I44" s="177" t="n">
        <f aca="false">$E44</f>
        <v>5.12589575</v>
      </c>
      <c r="J44" s="177" t="n">
        <f aca="false">$E44</f>
        <v>5.12589575</v>
      </c>
      <c r="K44" s="177" t="n">
        <f aca="false">$E44</f>
        <v>5.12589575</v>
      </c>
      <c r="L44" s="177" t="n">
        <f aca="false">$E44</f>
        <v>5.12589575</v>
      </c>
      <c r="M44" s="177" t="n">
        <f aca="false">M$3*$E44</f>
        <v>5.36899583176093</v>
      </c>
      <c r="N44" s="177" t="n">
        <f aca="false">N$3*$E44</f>
        <v>5.51473687257363</v>
      </c>
      <c r="O44" s="177" t="n">
        <f aca="false">O$3*$E44</f>
        <v>5.73691750138075</v>
      </c>
      <c r="P44" s="177" t="n">
        <f aca="false">P$3*$E44</f>
        <v>6.06098996717053</v>
      </c>
      <c r="Q44" s="177" t="n">
        <f aca="false">Q$3*$E44</f>
        <v>6.50446143879942</v>
      </c>
      <c r="R44" s="177" t="n">
        <f aca="false">R$3*$E44</f>
        <v>7.06112985964457</v>
      </c>
      <c r="S44" s="177" t="n">
        <f aca="false">S$3*$E44</f>
        <v>7.688843625</v>
      </c>
      <c r="T44" s="177" t="n">
        <f aca="false">T$3*$E44</f>
        <v>8.31655739035543</v>
      </c>
      <c r="U44" s="177" t="n">
        <f aca="false">U$3*$E44</f>
        <v>8.87322581120058</v>
      </c>
      <c r="V44" s="177" t="n">
        <f aca="false">V$3*$E44</f>
        <v>9.31669728282947</v>
      </c>
      <c r="W44" s="177" t="n">
        <f aca="false">W$3*$E44</f>
        <v>9.64076974861924</v>
      </c>
      <c r="X44" s="177" t="n">
        <f aca="false">X$3*$E44</f>
        <v>9.86295037742637</v>
      </c>
      <c r="Y44" s="177" t="n">
        <f aca="false">Y$3*$E44</f>
        <v>10.0086914182391</v>
      </c>
      <c r="Z44" s="177" t="n">
        <f aca="false">Z$3*$E44</f>
        <v>10.1015400609686</v>
      </c>
      <c r="AA44" s="177" t="n">
        <f aca="false">AA$3*$E44</f>
        <v>10.1595960627967</v>
      </c>
      <c r="AB44" s="177" t="n">
        <f aca="false">AB$3*$E44</f>
        <v>10.1954735774644</v>
      </c>
      <c r="AC44" s="177" t="n">
        <f aca="false">AC$3*$E44</f>
        <v>10.2174846438918</v>
      </c>
      <c r="AD44" s="219" t="n">
        <f aca="false">Algae_electricity_factor/H44</f>
        <v>0.0026812088606229</v>
      </c>
      <c r="AE44" s="220" t="n">
        <f aca="false">Algae_electricity_factor/I44</f>
        <v>0.0026812088606229</v>
      </c>
      <c r="AF44" s="220" t="n">
        <f aca="false">Algae_electricity_factor/J44</f>
        <v>0.0026812088606229</v>
      </c>
      <c r="AG44" s="220" t="n">
        <f aca="false">Algae_electricity_factor/K44</f>
        <v>0.0026812088606229</v>
      </c>
      <c r="AH44" s="220" t="n">
        <f aca="false">Algae_electricity_factor/L44</f>
        <v>0.0026812088606229</v>
      </c>
      <c r="AI44" s="220" t="n">
        <f aca="false">Algae_electricity_factor/M44</f>
        <v>0.00255980774323336</v>
      </c>
      <c r="AJ44" s="220" t="n">
        <f aca="false">Algae_electricity_factor/N44</f>
        <v>0.00249215826994033</v>
      </c>
      <c r="AK44" s="220" t="n">
        <f aca="false">Algae_electricity_factor/O44</f>
        <v>0.00239564140502656</v>
      </c>
      <c r="AL44" s="220" t="n">
        <f aca="false">Algae_electricity_factor/P44</f>
        <v>0.00226754988508012</v>
      </c>
      <c r="AM44" s="220" t="n">
        <f aca="false">Algae_electricity_factor/Q44</f>
        <v>0.00211294927840575</v>
      </c>
      <c r="AN44" s="220" t="n">
        <f aca="false">Algae_electricity_factor/R44</f>
        <v>0.00194637365077734</v>
      </c>
      <c r="AO44" s="220" t="n">
        <f aca="false">Algae_electricity_factor/S44</f>
        <v>0.0017874725737486</v>
      </c>
      <c r="AP44" s="220" t="n">
        <f aca="false">Algae_electricity_factor/T44</f>
        <v>0.00165255843956148</v>
      </c>
      <c r="AQ44" s="220" t="n">
        <f aca="false">Algae_electricity_factor/U44</f>
        <v>0.00154888395674331</v>
      </c>
      <c r="AR44" s="220" t="n">
        <f aca="false">Algae_electricity_factor/V44</f>
        <v>0.00147515763218566</v>
      </c>
      <c r="AS44" s="220" t="n">
        <f aca="false">Algae_electricity_factor/W44</f>
        <v>0.00142557051582916</v>
      </c>
      <c r="AT44" s="220" t="n">
        <f aca="false">Algae_electricity_factor/X44</f>
        <v>0.00139345698574989</v>
      </c>
      <c r="AU44" s="220" t="n">
        <f aca="false">Algae_electricity_factor/Y44</f>
        <v>0.00137316623414765</v>
      </c>
      <c r="AV44" s="220" t="n">
        <f aca="false">Algae_electricity_factor/Z44</f>
        <v>0.00136054473086072</v>
      </c>
      <c r="AW44" s="220" t="n">
        <f aca="false">Algae_electricity_factor/AA44</f>
        <v>0.00135277003323555</v>
      </c>
      <c r="AX44" s="220" t="n">
        <f aca="false">Algae_electricity_factor/AB44</f>
        <v>0.00134800968283686</v>
      </c>
      <c r="AY44" s="220" t="n">
        <f aca="false">Algae_electricity_factor/AC44</f>
        <v>0.00134510572636343</v>
      </c>
      <c r="AZ44" s="221" t="n">
        <f aca="false">Algae_yield_cost_factor/H44</f>
        <v>0.148431153576664</v>
      </c>
      <c r="BA44" s="197" t="n">
        <f aca="false">Algae_yield_cost_factor/I44</f>
        <v>0.148431153576664</v>
      </c>
      <c r="BB44" s="197" t="n">
        <f aca="false">Algae_yield_cost_factor/J44</f>
        <v>0.148431153576664</v>
      </c>
      <c r="BC44" s="197" t="n">
        <f aca="false">Algae_yield_cost_factor/K44</f>
        <v>0.148431153576664</v>
      </c>
      <c r="BD44" s="197" t="n">
        <f aca="false">Algae_yield_cost_factor/L44</f>
        <v>0.148431153576664</v>
      </c>
      <c r="BE44" s="197" t="n">
        <f aca="false">Algae_yield_cost_factor/M44</f>
        <v>0.141710413479065</v>
      </c>
      <c r="BF44" s="197" t="n">
        <f aca="false">Algae_yield_cost_factor/N44</f>
        <v>0.137965352992653</v>
      </c>
      <c r="BG44" s="197" t="n">
        <f aca="false">Algae_yield_cost_factor/O44</f>
        <v>0.132622199831721</v>
      </c>
      <c r="BH44" s="197" t="n">
        <f aca="false">Algae_yield_cost_factor/P44</f>
        <v>0.125531080468263</v>
      </c>
      <c r="BI44" s="197" t="n">
        <f aca="false">Algae_yield_cost_factor/Q44</f>
        <v>0.116972423688725</v>
      </c>
      <c r="BJ44" s="197" t="n">
        <f aca="false">Algae_yield_cost_factor/R44</f>
        <v>0.107750832290247</v>
      </c>
      <c r="BK44" s="197" t="n">
        <f aca="false">Algae_yield_cost_factor/S44</f>
        <v>0.0989541023844425</v>
      </c>
      <c r="BL44" s="197" t="n">
        <f aca="false">Algae_yield_cost_factor/T44</f>
        <v>0.0914852845443662</v>
      </c>
      <c r="BM44" s="197" t="n">
        <f aca="false">Algae_yield_cost_factor/U44</f>
        <v>0.0857458871750806</v>
      </c>
      <c r="BN44" s="197" t="n">
        <f aca="false">Algae_yield_cost_factor/V44</f>
        <v>0.0816644134921544</v>
      </c>
      <c r="BO44" s="197" t="n">
        <f aca="false">Algae_yield_cost_factor/W44</f>
        <v>0.0789192812529504</v>
      </c>
      <c r="BP44" s="197" t="n">
        <f aca="false">Algae_yield_cost_factor/X44</f>
        <v>0.077141483042192</v>
      </c>
      <c r="BQ44" s="197" t="n">
        <f aca="false">Algae_yield_cost_factor/Y44</f>
        <v>0.0760181913391512</v>
      </c>
      <c r="BR44" s="197" t="n">
        <f aca="false">Algae_yield_cost_factor/Z44</f>
        <v>0.0753194675954454</v>
      </c>
      <c r="BS44" s="197" t="n">
        <f aca="false">Algae_yield_cost_factor/AA44</f>
        <v>0.0748890619846922</v>
      </c>
      <c r="BT44" s="197" t="n">
        <f aca="false">Algae_yield_cost_factor/AB44</f>
        <v>0.0746255299967579</v>
      </c>
      <c r="BU44" s="197" t="n">
        <f aca="false">Algae_yield_cost_factor/AC44</f>
        <v>0.0744647675826028</v>
      </c>
    </row>
    <row r="45" customFormat="false" ht="15" hidden="false" customHeight="false" outlineLevel="0" collapsed="false">
      <c r="A45" s="18" t="s">
        <v>697</v>
      </c>
      <c r="B45" s="18" t="s">
        <v>22</v>
      </c>
      <c r="C45" s="18" t="s">
        <v>692</v>
      </c>
      <c r="D45" s="18" t="s">
        <v>692</v>
      </c>
      <c r="E45" s="28" t="n">
        <v>5.070361</v>
      </c>
      <c r="F45" s="185" t="n">
        <f aca="false">E45/$B$2*$F$3/1000</f>
        <v>0.01242238445</v>
      </c>
      <c r="G45" s="18" t="n">
        <f aca="false">LOOKUP(RIGHT(D45,5),Ref!$C$4:$C$21,Ref!$E$4:$E$21)*$G$3</f>
        <v>2.5</v>
      </c>
      <c r="H45" s="218" t="n">
        <f aca="false">$E45</f>
        <v>5.070361</v>
      </c>
      <c r="I45" s="177" t="n">
        <f aca="false">$E45</f>
        <v>5.070361</v>
      </c>
      <c r="J45" s="177" t="n">
        <f aca="false">$E45</f>
        <v>5.070361</v>
      </c>
      <c r="K45" s="177" t="n">
        <f aca="false">$E45</f>
        <v>5.070361</v>
      </c>
      <c r="L45" s="177" t="n">
        <f aca="false">$E45</f>
        <v>5.070361</v>
      </c>
      <c r="M45" s="177" t="n">
        <f aca="false">M$3*$E45</f>
        <v>5.31082729775048</v>
      </c>
      <c r="N45" s="177" t="n">
        <f aca="false">N$3*$E45</f>
        <v>5.45498935751069</v>
      </c>
      <c r="O45" s="177" t="n">
        <f aca="false">O$3*$E45</f>
        <v>5.67476284690699</v>
      </c>
      <c r="P45" s="177" t="n">
        <f aca="false">P$3*$E45</f>
        <v>5.99532426131232</v>
      </c>
      <c r="Q45" s="177" t="n">
        <f aca="false">Q$3*$E45</f>
        <v>6.43399109419899</v>
      </c>
      <c r="R45" s="177" t="n">
        <f aca="false">R$3*$E45</f>
        <v>6.98462848298803</v>
      </c>
      <c r="S45" s="177" t="n">
        <f aca="false">S$3*$E45</f>
        <v>7.6055415</v>
      </c>
      <c r="T45" s="177" t="n">
        <f aca="false">T$3*$E45</f>
        <v>8.22645451701197</v>
      </c>
      <c r="U45" s="177" t="n">
        <f aca="false">U$3*$E45</f>
        <v>8.77709190580101</v>
      </c>
      <c r="V45" s="177" t="n">
        <f aca="false">V$3*$E45</f>
        <v>9.21575873868768</v>
      </c>
      <c r="W45" s="177" t="n">
        <f aca="false">W$3*$E45</f>
        <v>9.53632015309301</v>
      </c>
      <c r="X45" s="177" t="n">
        <f aca="false">X$3*$E45</f>
        <v>9.75609364248931</v>
      </c>
      <c r="Y45" s="177" t="n">
        <f aca="false">Y$3*$E45</f>
        <v>9.90025570224952</v>
      </c>
      <c r="Z45" s="177" t="n">
        <f aca="false">Z$3*$E45</f>
        <v>9.99209840837532</v>
      </c>
      <c r="AA45" s="177" t="n">
        <f aca="false">AA$3*$E45</f>
        <v>10.0495254224704</v>
      </c>
      <c r="AB45" s="177" t="n">
        <f aca="false">AB$3*$E45</f>
        <v>10.0850142345766</v>
      </c>
      <c r="AC45" s="177" t="n">
        <f aca="false">AC$3*$E45</f>
        <v>10.1067868296947</v>
      </c>
      <c r="AD45" s="219" t="n">
        <f aca="false">Algae_electricity_factor/H45</f>
        <v>0.0027105756579323</v>
      </c>
      <c r="AE45" s="220" t="n">
        <f aca="false">Algae_electricity_factor/I45</f>
        <v>0.0027105756579323</v>
      </c>
      <c r="AF45" s="220" t="n">
        <f aca="false">Algae_electricity_factor/J45</f>
        <v>0.0027105756579323</v>
      </c>
      <c r="AG45" s="220" t="n">
        <f aca="false">Algae_electricity_factor/K45</f>
        <v>0.0027105756579323</v>
      </c>
      <c r="AH45" s="220" t="n">
        <f aca="false">Algae_electricity_factor/L45</f>
        <v>0.0027105756579323</v>
      </c>
      <c r="AI45" s="220" t="n">
        <f aca="false">Algae_electricity_factor/M45</f>
        <v>0.00258784485598895</v>
      </c>
      <c r="AJ45" s="220" t="n">
        <f aca="false">Algae_electricity_factor/N45</f>
        <v>0.0025194544302101</v>
      </c>
      <c r="AK45" s="220" t="n">
        <f aca="false">Algae_electricity_factor/O45</f>
        <v>0.002421880433474</v>
      </c>
      <c r="AL45" s="220" t="n">
        <f aca="false">Algae_electricity_factor/P45</f>
        <v>0.00229238595020062</v>
      </c>
      <c r="AM45" s="220" t="n">
        <f aca="false">Algae_electricity_factor/Q45</f>
        <v>0.00213609203095117</v>
      </c>
      <c r="AN45" s="220" t="n">
        <f aca="false">Algae_electricity_factor/R45</f>
        <v>0.0019676919305019</v>
      </c>
      <c r="AO45" s="220" t="n">
        <f aca="false">Algae_electricity_factor/S45</f>
        <v>0.00180705043862153</v>
      </c>
      <c r="AP45" s="220" t="n">
        <f aca="false">Algae_electricity_factor/T45</f>
        <v>0.00167065861424361</v>
      </c>
      <c r="AQ45" s="220" t="n">
        <f aca="false">Algae_electricity_factor/U45</f>
        <v>0.00156584860350451</v>
      </c>
      <c r="AR45" s="220" t="n">
        <f aca="false">Algae_electricity_factor/V45</f>
        <v>0.0014913147678046</v>
      </c>
      <c r="AS45" s="220" t="n">
        <f aca="false">Algae_electricity_factor/W45</f>
        <v>0.00144118453270171</v>
      </c>
      <c r="AT45" s="220" t="n">
        <f aca="false">Algae_electricity_factor/X45</f>
        <v>0.00140871926891658</v>
      </c>
      <c r="AU45" s="220" t="n">
        <f aca="false">Algae_electricity_factor/Y45</f>
        <v>0.00138820627636986</v>
      </c>
      <c r="AV45" s="220" t="n">
        <f aca="false">Algae_electricity_factor/Z45</f>
        <v>0.0013754465320327</v>
      </c>
      <c r="AW45" s="220" t="n">
        <f aca="false">Algae_electricity_factor/AA45</f>
        <v>0.00136758667954599</v>
      </c>
      <c r="AX45" s="220" t="n">
        <f aca="false">Algae_electricity_factor/AB45</f>
        <v>0.00136277418988752</v>
      </c>
      <c r="AY45" s="220" t="n">
        <f aca="false">Algae_electricity_factor/AC45</f>
        <v>0.00135983842690233</v>
      </c>
      <c r="AZ45" s="221" t="n">
        <f aca="false">Algae_yield_cost_factor/H45</f>
        <v>0.150056893244133</v>
      </c>
      <c r="BA45" s="197" t="n">
        <f aca="false">Algae_yield_cost_factor/I45</f>
        <v>0.150056893244133</v>
      </c>
      <c r="BB45" s="197" t="n">
        <f aca="false">Algae_yield_cost_factor/J45</f>
        <v>0.150056893244133</v>
      </c>
      <c r="BC45" s="197" t="n">
        <f aca="false">Algae_yield_cost_factor/K45</f>
        <v>0.150056893244133</v>
      </c>
      <c r="BD45" s="197" t="n">
        <f aca="false">Algae_yield_cost_factor/L45</f>
        <v>0.150056893244133</v>
      </c>
      <c r="BE45" s="197" t="n">
        <f aca="false">Algae_yield_cost_factor/M45</f>
        <v>0.143262542091792</v>
      </c>
      <c r="BF45" s="197" t="n">
        <f aca="false">Algae_yield_cost_factor/N45</f>
        <v>0.139476462632994</v>
      </c>
      <c r="BG45" s="197" t="n">
        <f aca="false">Algae_yield_cost_factor/O45</f>
        <v>0.1340747868787</v>
      </c>
      <c r="BH45" s="197" t="n">
        <f aca="false">Algae_yield_cost_factor/P45</f>
        <v>0.126905999763168</v>
      </c>
      <c r="BI45" s="197" t="n">
        <f aca="false">Algae_yield_cost_factor/Q45</f>
        <v>0.118253601558791</v>
      </c>
      <c r="BJ45" s="197" t="n">
        <f aca="false">Algae_yield_cost_factor/R45</f>
        <v>0.1089310077321</v>
      </c>
      <c r="BK45" s="197" t="n">
        <f aca="false">Algae_yield_cost_factor/S45</f>
        <v>0.100037928829422</v>
      </c>
      <c r="BL45" s="197" t="n">
        <f aca="false">Algae_yield_cost_factor/T45</f>
        <v>0.092487306373946</v>
      </c>
      <c r="BM45" s="197" t="n">
        <f aca="false">Algae_yield_cost_factor/U45</f>
        <v>0.0866850464199147</v>
      </c>
      <c r="BN45" s="197" t="n">
        <f aca="false">Algae_yield_cost_factor/V45</f>
        <v>0.0825588690915059</v>
      </c>
      <c r="BO45" s="197" t="n">
        <f aca="false">Algae_yield_cost_factor/W45</f>
        <v>0.0797836699137503</v>
      </c>
      <c r="BP45" s="197" t="n">
        <f aca="false">Algae_yield_cost_factor/X45</f>
        <v>0.0779863997996729</v>
      </c>
      <c r="BQ45" s="197" t="n">
        <f aca="false">Algae_yield_cost_factor/Y45</f>
        <v>0.0768508048851042</v>
      </c>
      <c r="BR45" s="197" t="n">
        <f aca="false">Algae_yield_cost_factor/Z45</f>
        <v>0.0761444281461923</v>
      </c>
      <c r="BS45" s="197" t="n">
        <f aca="false">Algae_yield_cost_factor/AA45</f>
        <v>0.0757093083803738</v>
      </c>
      <c r="BT45" s="197" t="n">
        <f aca="false">Algae_yield_cost_factor/AB45</f>
        <v>0.0754428899740824</v>
      </c>
      <c r="BU45" s="197" t="n">
        <f aca="false">Algae_yield_cost_factor/AC45</f>
        <v>0.0752803667581857</v>
      </c>
    </row>
    <row r="46" customFormat="false" ht="15" hidden="false" customHeight="false" outlineLevel="0" collapsed="false">
      <c r="A46" s="18" t="s">
        <v>697</v>
      </c>
      <c r="B46" s="18" t="s">
        <v>22</v>
      </c>
      <c r="C46" s="18" t="s">
        <v>693</v>
      </c>
      <c r="D46" s="18" t="s">
        <v>693</v>
      </c>
      <c r="E46" s="28" t="n">
        <v>6.536055</v>
      </c>
      <c r="F46" s="185" t="n">
        <f aca="false">E46/$B$2*$F$3/1000</f>
        <v>0.01601333475</v>
      </c>
      <c r="G46" s="18" t="n">
        <f aca="false">LOOKUP(RIGHT(D46,5),Ref!$C$4:$C$21,Ref!$E$4:$E$21)*$G$3</f>
        <v>3</v>
      </c>
      <c r="H46" s="218" t="n">
        <f aca="false">$E46</f>
        <v>6.536055</v>
      </c>
      <c r="I46" s="177" t="n">
        <f aca="false">$E46</f>
        <v>6.536055</v>
      </c>
      <c r="J46" s="177" t="n">
        <f aca="false">$E46</f>
        <v>6.536055</v>
      </c>
      <c r="K46" s="177" t="n">
        <f aca="false">$E46</f>
        <v>6.536055</v>
      </c>
      <c r="L46" s="177" t="n">
        <f aca="false">$E46</f>
        <v>6.536055</v>
      </c>
      <c r="M46" s="177" t="n">
        <f aca="false">M$3*$E46</f>
        <v>6.8460331155116</v>
      </c>
      <c r="N46" s="177" t="n">
        <f aca="false">N$3*$E46</f>
        <v>7.03186823681875</v>
      </c>
      <c r="O46" s="177" t="n">
        <f aca="false">O$3*$E46</f>
        <v>7.31517185449727</v>
      </c>
      <c r="P46" s="177" t="n">
        <f aca="false">P$3*$E46</f>
        <v>7.72839825700216</v>
      </c>
      <c r="Q46" s="177" t="n">
        <f aca="false">Q$3*$E46</f>
        <v>8.29387092185246</v>
      </c>
      <c r="R46" s="177" t="n">
        <f aca="false">R$3*$E46</f>
        <v>9.00368157600146</v>
      </c>
      <c r="S46" s="177" t="n">
        <f aca="false">S$3*$E46</f>
        <v>9.8040825</v>
      </c>
      <c r="T46" s="177" t="n">
        <f aca="false">T$3*$E46</f>
        <v>10.6044834239985</v>
      </c>
      <c r="U46" s="177" t="n">
        <f aca="false">U$3*$E46</f>
        <v>11.3142940781475</v>
      </c>
      <c r="V46" s="177" t="n">
        <f aca="false">V$3*$E46</f>
        <v>11.8797667429978</v>
      </c>
      <c r="W46" s="177" t="n">
        <f aca="false">W$3*$E46</f>
        <v>12.2929931455027</v>
      </c>
      <c r="X46" s="177" t="n">
        <f aca="false">X$3*$E46</f>
        <v>12.5762967631813</v>
      </c>
      <c r="Y46" s="177" t="n">
        <f aca="false">Y$3*$E46</f>
        <v>12.7621318844884</v>
      </c>
      <c r="Z46" s="177" t="n">
        <f aca="false">Z$3*$E46</f>
        <v>12.8805236476364</v>
      </c>
      <c r="AA46" s="177" t="n">
        <f aca="false">AA$3*$E46</f>
        <v>12.9545511424462</v>
      </c>
      <c r="AB46" s="177" t="n">
        <f aca="false">AB$3*$E46</f>
        <v>13.0002987386846</v>
      </c>
      <c r="AC46" s="177" t="n">
        <f aca="false">AC$3*$E46</f>
        <v>13.0283651582521</v>
      </c>
      <c r="AD46" s="219" t="n">
        <f aca="false">Algae_electricity_factor/H46</f>
        <v>0.00210273584043116</v>
      </c>
      <c r="AE46" s="220" t="n">
        <f aca="false">Algae_electricity_factor/I46</f>
        <v>0.00210273584043116</v>
      </c>
      <c r="AF46" s="220" t="n">
        <f aca="false">Algae_electricity_factor/J46</f>
        <v>0.00210273584043116</v>
      </c>
      <c r="AG46" s="220" t="n">
        <f aca="false">Algae_electricity_factor/K46</f>
        <v>0.00210273584043116</v>
      </c>
      <c r="AH46" s="220" t="n">
        <f aca="false">Algae_electricity_factor/L46</f>
        <v>0.00210273584043116</v>
      </c>
      <c r="AI46" s="220" t="n">
        <f aca="false">Algae_electricity_factor/M46</f>
        <v>0.00200752711411654</v>
      </c>
      <c r="AJ46" s="220" t="n">
        <f aca="false">Algae_electricity_factor/N46</f>
        <v>0.00195447307040937</v>
      </c>
      <c r="AK46" s="220" t="n">
        <f aca="false">Algae_electricity_factor/O46</f>
        <v>0.00187877979860171</v>
      </c>
      <c r="AL46" s="220" t="n">
        <f aca="false">Algae_electricity_factor/P46</f>
        <v>0.00177832412959272</v>
      </c>
      <c r="AM46" s="220" t="n">
        <f aca="false">Algae_electricity_factor/Q46</f>
        <v>0.00165707873115291</v>
      </c>
      <c r="AN46" s="220" t="n">
        <f aca="false">Algae_electricity_factor/R46</f>
        <v>0.0015264419323937</v>
      </c>
      <c r="AO46" s="220" t="n">
        <f aca="false">Algae_electricity_factor/S46</f>
        <v>0.00140182389362077</v>
      </c>
      <c r="AP46" s="220" t="n">
        <f aca="false">Algae_electricity_factor/T46</f>
        <v>0.00129601759501333</v>
      </c>
      <c r="AQ46" s="220" t="n">
        <f aca="false">Algae_electricity_factor/U46</f>
        <v>0.00121471096725987</v>
      </c>
      <c r="AR46" s="220" t="n">
        <f aca="false">Algae_electricity_factor/V46</f>
        <v>0.00115689115795392</v>
      </c>
      <c r="AS46" s="220" t="n">
        <f aca="false">Algae_electricity_factor/W46</f>
        <v>0.00111800250279626</v>
      </c>
      <c r="AT46" s="220" t="n">
        <f aca="false">Algae_electricity_factor/X46</f>
        <v>0.00109281749328351</v>
      </c>
      <c r="AU46" s="220" t="n">
        <f aca="false">Algae_electricity_factor/Y46</f>
        <v>0.00107690448805295</v>
      </c>
      <c r="AV46" s="220" t="n">
        <f aca="false">Algae_electricity_factor/Z46</f>
        <v>0.00106700608449651</v>
      </c>
      <c r="AW46" s="220" t="n">
        <f aca="false">Algae_electricity_factor/AA46</f>
        <v>0.00106090878428799</v>
      </c>
      <c r="AX46" s="220" t="n">
        <f aca="false">Algae_electricity_factor/AB46</f>
        <v>0.00105717548340892</v>
      </c>
      <c r="AY46" s="220" t="n">
        <f aca="false">Algae_electricity_factor/AC46</f>
        <v>0.00105489805793662</v>
      </c>
      <c r="AZ46" s="221" t="n">
        <f aca="false">Algae_yield_cost_factor/H46</f>
        <v>0.116407009929723</v>
      </c>
      <c r="BA46" s="197" t="n">
        <f aca="false">Algae_yield_cost_factor/I46</f>
        <v>0.116407009929723</v>
      </c>
      <c r="BB46" s="197" t="n">
        <f aca="false">Algae_yield_cost_factor/J46</f>
        <v>0.116407009929723</v>
      </c>
      <c r="BC46" s="197" t="n">
        <f aca="false">Algae_yield_cost_factor/K46</f>
        <v>0.116407009929723</v>
      </c>
      <c r="BD46" s="197" t="n">
        <f aca="false">Algae_yield_cost_factor/L46</f>
        <v>0.116407009929723</v>
      </c>
      <c r="BE46" s="197" t="n">
        <f aca="false">Algae_yield_cost_factor/M46</f>
        <v>0.111136275044057</v>
      </c>
      <c r="BF46" s="197" t="n">
        <f aca="false">Algae_yield_cost_factor/N46</f>
        <v>0.108199214442395</v>
      </c>
      <c r="BG46" s="197" t="n">
        <f aca="false">Algae_yield_cost_factor/O46</f>
        <v>0.104008850977091</v>
      </c>
      <c r="BH46" s="197" t="n">
        <f aca="false">Algae_yield_cost_factor/P46</f>
        <v>0.0984476464572555</v>
      </c>
      <c r="BI46" s="197" t="n">
        <f aca="false">Algae_yield_cost_factor/Q46</f>
        <v>0.0917355269276702</v>
      </c>
      <c r="BJ46" s="197" t="n">
        <f aca="false">Algae_yield_cost_factor/R46</f>
        <v>0.084503501469241</v>
      </c>
      <c r="BK46" s="197" t="n">
        <f aca="false">Algae_yield_cost_factor/S46</f>
        <v>0.0776046732864822</v>
      </c>
      <c r="BL46" s="197" t="n">
        <f aca="false">Algae_yield_cost_factor/T46</f>
        <v>0.0717472590474693</v>
      </c>
      <c r="BM46" s="197" t="n">
        <f aca="false">Algae_yield_cost_factor/U46</f>
        <v>0.06724614138815</v>
      </c>
      <c r="BN46" s="197" t="n">
        <f aca="false">Algae_yield_cost_factor/V46</f>
        <v>0.064045249014226</v>
      </c>
      <c r="BO46" s="197" t="n">
        <f aca="false">Algae_yield_cost_factor/W46</f>
        <v>0.0618923813167963</v>
      </c>
      <c r="BP46" s="197" t="n">
        <f aca="false">Algae_yield_cost_factor/X46</f>
        <v>0.0604981445343818</v>
      </c>
      <c r="BQ46" s="197" t="n">
        <f aca="false">Algae_yield_cost_factor/Y46</f>
        <v>0.0596172039415277</v>
      </c>
      <c r="BR46" s="197" t="n">
        <f aca="false">Algae_yield_cost_factor/Z46</f>
        <v>0.0590692304210653</v>
      </c>
      <c r="BS46" s="197" t="n">
        <f aca="false">Algae_yield_cost_factor/AA46</f>
        <v>0.0587316851753574</v>
      </c>
      <c r="BT46" s="197" t="n">
        <f aca="false">Algae_yield_cost_factor/AB46</f>
        <v>0.0585250104308912</v>
      </c>
      <c r="BU46" s="197" t="n">
        <f aca="false">Algae_yield_cost_factor/AC46</f>
        <v>0.0583989326400101</v>
      </c>
    </row>
    <row r="47" customFormat="false" ht="15" hidden="false" customHeight="false" outlineLevel="0" collapsed="false">
      <c r="A47" s="18" t="s">
        <v>697</v>
      </c>
      <c r="B47" s="18" t="s">
        <v>22</v>
      </c>
      <c r="C47" s="18" t="s">
        <v>694</v>
      </c>
      <c r="D47" s="18" t="s">
        <v>694</v>
      </c>
      <c r="E47" s="28" t="n">
        <v>5.735975</v>
      </c>
      <c r="F47" s="185" t="n">
        <f aca="false">E47/$B$2*$F$3/1000</f>
        <v>0.01405313875</v>
      </c>
      <c r="G47" s="18" t="n">
        <f aca="false">LOOKUP(RIGHT(D47,5),Ref!$C$4:$C$21,Ref!$E$4:$E$21)*$G$3</f>
        <v>3</v>
      </c>
      <c r="H47" s="218" t="n">
        <f aca="false">$E47</f>
        <v>5.735975</v>
      </c>
      <c r="I47" s="177" t="n">
        <f aca="false">$E47</f>
        <v>5.735975</v>
      </c>
      <c r="J47" s="177" t="n">
        <f aca="false">$E47</f>
        <v>5.735975</v>
      </c>
      <c r="K47" s="177" t="n">
        <f aca="false">$E47</f>
        <v>5.735975</v>
      </c>
      <c r="L47" s="177" t="n">
        <f aca="false">$E47</f>
        <v>5.735975</v>
      </c>
      <c r="M47" s="177" t="n">
        <f aca="false">M$3*$E47</f>
        <v>6.00800862289969</v>
      </c>
      <c r="N47" s="177" t="n">
        <f aca="false">N$3*$E47</f>
        <v>6.17109562414735</v>
      </c>
      <c r="O47" s="177" t="n">
        <f aca="false">O$3*$E47</f>
        <v>6.41971998064582</v>
      </c>
      <c r="P47" s="177" t="n">
        <f aca="false">P$3*$E47</f>
        <v>6.78236324391516</v>
      </c>
      <c r="Q47" s="177" t="n">
        <f aca="false">Q$3*$E47</f>
        <v>7.27861626944276</v>
      </c>
      <c r="R47" s="177" t="n">
        <f aca="false">R$3*$E47</f>
        <v>7.90153883770944</v>
      </c>
      <c r="S47" s="177" t="n">
        <f aca="false">S$3*$E47</f>
        <v>8.6039625</v>
      </c>
      <c r="T47" s="177" t="n">
        <f aca="false">T$3*$E47</f>
        <v>9.30638616229056</v>
      </c>
      <c r="U47" s="177" t="n">
        <f aca="false">U$3*$E47</f>
        <v>9.92930873055724</v>
      </c>
      <c r="V47" s="177" t="n">
        <f aca="false">V$3*$E47</f>
        <v>10.4255617560848</v>
      </c>
      <c r="W47" s="177" t="n">
        <f aca="false">W$3*$E47</f>
        <v>10.7882050193542</v>
      </c>
      <c r="X47" s="177" t="n">
        <f aca="false">X$3*$E47</f>
        <v>11.0368293758526</v>
      </c>
      <c r="Y47" s="177" t="n">
        <f aca="false">Y$3*$E47</f>
        <v>11.1999163771003</v>
      </c>
      <c r="Z47" s="177" t="n">
        <f aca="false">Z$3*$E47</f>
        <v>11.303815777216</v>
      </c>
      <c r="AA47" s="177" t="n">
        <f aca="false">AA$3*$E47</f>
        <v>11.3687815493127</v>
      </c>
      <c r="AB47" s="177" t="n">
        <f aca="false">AB$3*$E47</f>
        <v>11.4089291717445</v>
      </c>
      <c r="AC47" s="177" t="n">
        <f aca="false">AC$3*$E47</f>
        <v>11.4335599744196</v>
      </c>
      <c r="AD47" s="219" t="n">
        <f aca="false">Algae_electricity_factor/H47</f>
        <v>0.00239603504260902</v>
      </c>
      <c r="AE47" s="220" t="n">
        <f aca="false">Algae_electricity_factor/I47</f>
        <v>0.00239603504260902</v>
      </c>
      <c r="AF47" s="220" t="n">
        <f aca="false">Algae_electricity_factor/J47</f>
        <v>0.00239603504260902</v>
      </c>
      <c r="AG47" s="220" t="n">
        <f aca="false">Algae_electricity_factor/K47</f>
        <v>0.00239603504260902</v>
      </c>
      <c r="AH47" s="220" t="n">
        <f aca="false">Algae_electricity_factor/L47</f>
        <v>0.00239603504260902</v>
      </c>
      <c r="AI47" s="220" t="n">
        <f aca="false">Algae_electricity_factor/M47</f>
        <v>0.00228754616815048</v>
      </c>
      <c r="AJ47" s="220" t="n">
        <f aca="false">Algae_electricity_factor/N47</f>
        <v>0.00222709190402931</v>
      </c>
      <c r="AK47" s="220" t="n">
        <f aca="false">Algae_electricity_factor/O47</f>
        <v>0.00214084058883619</v>
      </c>
      <c r="AL47" s="220" t="n">
        <f aca="false">Algae_electricity_factor/P47</f>
        <v>0.00202637290414361</v>
      </c>
      <c r="AM47" s="220" t="n">
        <f aca="false">Algae_electricity_factor/Q47</f>
        <v>0.00188821564357334</v>
      </c>
      <c r="AN47" s="220" t="n">
        <f aca="false">Algae_electricity_factor/R47</f>
        <v>0.00173935702725893</v>
      </c>
      <c r="AO47" s="220" t="n">
        <f aca="false">Algae_electricity_factor/S47</f>
        <v>0.00159735669507268</v>
      </c>
      <c r="AP47" s="220" t="n">
        <f aca="false">Algae_electricity_factor/T47</f>
        <v>0.00147679205051884</v>
      </c>
      <c r="AQ47" s="220" t="n">
        <f aca="false">Algae_electricity_factor/U47</f>
        <v>0.00138414440284585</v>
      </c>
      <c r="AR47" s="220" t="n">
        <f aca="false">Algae_electricity_factor/V47</f>
        <v>0.00131825962236595</v>
      </c>
      <c r="AS47" s="220" t="n">
        <f aca="false">Algae_electricity_factor/W47</f>
        <v>0.00127394659990917</v>
      </c>
      <c r="AT47" s="220" t="n">
        <f aca="false">Algae_electricity_factor/X47</f>
        <v>0.00124524867020222</v>
      </c>
      <c r="AU47" s="220" t="n">
        <f aca="false">Algae_electricity_factor/Y47</f>
        <v>0.00122711604629744</v>
      </c>
      <c r="AV47" s="220" t="n">
        <f aca="false">Algae_electricity_factor/Z47</f>
        <v>0.00121583696818829</v>
      </c>
      <c r="AW47" s="220" t="n">
        <f aca="false">Algae_electricity_factor/AA47</f>
        <v>0.00120888918868884</v>
      </c>
      <c r="AX47" s="220" t="n">
        <f aca="false">Algae_electricity_factor/AB47</f>
        <v>0.00120463514994614</v>
      </c>
      <c r="AY47" s="220" t="n">
        <f aca="false">Algae_electricity_factor/AC47</f>
        <v>0.00120204005876367</v>
      </c>
      <c r="AZ47" s="221" t="n">
        <f aca="false">Algae_yield_cost_factor/H47</f>
        <v>0.132643991524757</v>
      </c>
      <c r="BA47" s="197" t="n">
        <f aca="false">Algae_yield_cost_factor/I47</f>
        <v>0.132643991524757</v>
      </c>
      <c r="BB47" s="197" t="n">
        <f aca="false">Algae_yield_cost_factor/J47</f>
        <v>0.132643991524757</v>
      </c>
      <c r="BC47" s="197" t="n">
        <f aca="false">Algae_yield_cost_factor/K47</f>
        <v>0.132643991524757</v>
      </c>
      <c r="BD47" s="197" t="n">
        <f aca="false">Algae_yield_cost_factor/L47</f>
        <v>0.132643991524757</v>
      </c>
      <c r="BE47" s="197" t="n">
        <f aca="false">Algae_yield_cost_factor/M47</f>
        <v>0.126638070455865</v>
      </c>
      <c r="BF47" s="197" t="n">
        <f aca="false">Algae_yield_cost_factor/N47</f>
        <v>0.123291335222397</v>
      </c>
      <c r="BG47" s="197" t="n">
        <f aca="false">Algae_yield_cost_factor/O47</f>
        <v>0.118516480715671</v>
      </c>
      <c r="BH47" s="197" t="n">
        <f aca="false">Algae_yield_cost_factor/P47</f>
        <v>0.112179573980915</v>
      </c>
      <c r="BI47" s="197" t="n">
        <f aca="false">Algae_yield_cost_factor/Q47</f>
        <v>0.104531217352452</v>
      </c>
      <c r="BJ47" s="197" t="n">
        <f aca="false">Algae_yield_cost_factor/R47</f>
        <v>0.0962904359408017</v>
      </c>
      <c r="BK47" s="197" t="n">
        <f aca="false">Algae_yield_cost_factor/S47</f>
        <v>0.0884293276831713</v>
      </c>
      <c r="BL47" s="197" t="n">
        <f aca="false">Algae_yield_cost_factor/T47</f>
        <v>0.0817548945442592</v>
      </c>
      <c r="BM47" s="197" t="n">
        <f aca="false">Algae_yield_cost_factor/U47</f>
        <v>0.076625940428737</v>
      </c>
      <c r="BN47" s="197" t="n">
        <f aca="false">Algae_yield_cost_factor/V47</f>
        <v>0.0729785729619946</v>
      </c>
      <c r="BO47" s="197" t="n">
        <f aca="false">Algae_yield_cost_factor/W47</f>
        <v>0.0705254134419263</v>
      </c>
      <c r="BP47" s="197" t="n">
        <f aca="false">Algae_yield_cost_factor/X47</f>
        <v>0.0689367021429956</v>
      </c>
      <c r="BQ47" s="197" t="n">
        <f aca="false">Algae_yield_cost_factor/Y47</f>
        <v>0.0679328839313354</v>
      </c>
      <c r="BR47" s="197" t="n">
        <f aca="false">Algae_yield_cost_factor/Z47</f>
        <v>0.0673084765606119</v>
      </c>
      <c r="BS47" s="197" t="n">
        <f aca="false">Algae_yield_cost_factor/AA47</f>
        <v>0.0669238489618278</v>
      </c>
      <c r="BT47" s="197" t="n">
        <f aca="false">Algae_yield_cost_factor/AB47</f>
        <v>0.0666883462797307</v>
      </c>
      <c r="BU47" s="197" t="n">
        <f aca="false">Algae_yield_cost_factor/AC47</f>
        <v>0.0665446825825429</v>
      </c>
    </row>
    <row r="48" customFormat="false" ht="15" hidden="false" customHeight="false" outlineLevel="0" collapsed="false">
      <c r="A48" s="18" t="s">
        <v>697</v>
      </c>
      <c r="B48" s="18" t="s">
        <v>22</v>
      </c>
      <c r="C48" s="18" t="s">
        <v>682</v>
      </c>
      <c r="D48" s="18" t="s">
        <v>682</v>
      </c>
      <c r="E48" s="28" t="n">
        <v>5.157815</v>
      </c>
      <c r="F48" s="185" t="n">
        <f aca="false">E48/$B$2*$F$3/1000</f>
        <v>0.01263664675</v>
      </c>
      <c r="G48" s="18" t="n">
        <f aca="false">LOOKUP(RIGHT(D48,5),Ref!$C$4:$C$21,Ref!$E$4:$E$21)*$G$3</f>
        <v>3</v>
      </c>
      <c r="H48" s="218" t="n">
        <f aca="false">$E48</f>
        <v>5.157815</v>
      </c>
      <c r="I48" s="177" t="n">
        <f aca="false">$E48</f>
        <v>5.157815</v>
      </c>
      <c r="J48" s="177" t="n">
        <f aca="false">$E48</f>
        <v>5.157815</v>
      </c>
      <c r="K48" s="177" t="n">
        <f aca="false">$E48</f>
        <v>5.157815</v>
      </c>
      <c r="L48" s="177" t="n">
        <f aca="false">$E48</f>
        <v>5.157815</v>
      </c>
      <c r="M48" s="177" t="n">
        <f aca="false">M$3*$E48</f>
        <v>5.40242888006335</v>
      </c>
      <c r="N48" s="177" t="n">
        <f aca="false">N$3*$E48</f>
        <v>5.54907745878627</v>
      </c>
      <c r="O48" s="177" t="n">
        <f aca="false">O$3*$E48</f>
        <v>5.77264161924951</v>
      </c>
      <c r="P48" s="177" t="n">
        <f aca="false">P$3*$E48</f>
        <v>6.09873210307128</v>
      </c>
      <c r="Q48" s="177" t="n">
        <f aca="false">Q$3*$E48</f>
        <v>6.54496509726348</v>
      </c>
      <c r="R48" s="177" t="n">
        <f aca="false">R$3*$E48</f>
        <v>7.10509992463711</v>
      </c>
      <c r="S48" s="177" t="n">
        <f aca="false">S$3*$E48</f>
        <v>7.7367225</v>
      </c>
      <c r="T48" s="177" t="n">
        <f aca="false">T$3*$E48</f>
        <v>8.36834507536289</v>
      </c>
      <c r="U48" s="177" t="n">
        <f aca="false">U$3*$E48</f>
        <v>8.92847990273652</v>
      </c>
      <c r="V48" s="177" t="n">
        <f aca="false">V$3*$E48</f>
        <v>9.37471289692872</v>
      </c>
      <c r="W48" s="177" t="n">
        <f aca="false">W$3*$E48</f>
        <v>9.70080338075049</v>
      </c>
      <c r="X48" s="177" t="n">
        <f aca="false">X$3*$E48</f>
        <v>9.92436754121373</v>
      </c>
      <c r="Y48" s="177" t="n">
        <f aca="false">Y$3*$E48</f>
        <v>10.0710161199366</v>
      </c>
      <c r="Z48" s="177" t="n">
        <f aca="false">Z$3*$E48</f>
        <v>10.1644429365472</v>
      </c>
      <c r="AA48" s="177" t="n">
        <f aca="false">AA$3*$E48</f>
        <v>10.2228604564644</v>
      </c>
      <c r="AB48" s="177" t="n">
        <f aca="false">AB$3*$E48</f>
        <v>10.2589613824958</v>
      </c>
      <c r="AC48" s="177" t="n">
        <f aca="false">AC$3*$E48</f>
        <v>10.28110951311</v>
      </c>
      <c r="AD48" s="219" t="n">
        <f aca="false">Algae_electricity_factor/H48</f>
        <v>0.00266461614143378</v>
      </c>
      <c r="AE48" s="220" t="n">
        <f aca="false">Algae_electricity_factor/I48</f>
        <v>0.00266461614143378</v>
      </c>
      <c r="AF48" s="220" t="n">
        <f aca="false">Algae_electricity_factor/J48</f>
        <v>0.00266461614143378</v>
      </c>
      <c r="AG48" s="220" t="n">
        <f aca="false">Algae_electricity_factor/K48</f>
        <v>0.00266461614143378</v>
      </c>
      <c r="AH48" s="220" t="n">
        <f aca="false">Algae_electricity_factor/L48</f>
        <v>0.00266461614143378</v>
      </c>
      <c r="AI48" s="220" t="n">
        <f aca="false">Algae_electricity_factor/M48</f>
        <v>0.00254396631749238</v>
      </c>
      <c r="AJ48" s="220" t="n">
        <f aca="false">Algae_electricity_factor/N48</f>
        <v>0.00247673549443214</v>
      </c>
      <c r="AK48" s="220" t="n">
        <f aca="false">Algae_electricity_factor/O48</f>
        <v>0.00238081592623033</v>
      </c>
      <c r="AL48" s="220" t="n">
        <f aca="false">Algae_electricity_factor/P48</f>
        <v>0.00225351710343336</v>
      </c>
      <c r="AM48" s="220" t="n">
        <f aca="false">Algae_electricity_factor/Q48</f>
        <v>0.00209987324596667</v>
      </c>
      <c r="AN48" s="220" t="n">
        <f aca="false">Algae_electricity_factor/R48</f>
        <v>0.00193432847522285</v>
      </c>
      <c r="AO48" s="220" t="n">
        <f aca="false">Algae_electricity_factor/S48</f>
        <v>0.00177641076095585</v>
      </c>
      <c r="AP48" s="220" t="n">
        <f aca="false">Algae_electricity_factor/T48</f>
        <v>0.00164233154581442</v>
      </c>
      <c r="AQ48" s="220" t="n">
        <f aca="false">Algae_electricity_factor/U48</f>
        <v>0.00153929865478187</v>
      </c>
      <c r="AR48" s="220" t="n">
        <f aca="false">Algae_electricity_factor/V48</f>
        <v>0.00146602858718285</v>
      </c>
      <c r="AS48" s="220" t="n">
        <f aca="false">Algae_electricity_factor/W48</f>
        <v>0.00141674834177146</v>
      </c>
      <c r="AT48" s="220" t="n">
        <f aca="false">Algae_electricity_factor/X48</f>
        <v>0.00138483354696963</v>
      </c>
      <c r="AU48" s="220" t="n">
        <f aca="false">Algae_electricity_factor/Y48</f>
        <v>0.00136466836512379</v>
      </c>
      <c r="AV48" s="220" t="n">
        <f aca="false">Algae_electricity_factor/Z48</f>
        <v>0.0013521249702837</v>
      </c>
      <c r="AW48" s="220" t="n">
        <f aca="false">Algae_electricity_factor/AA48</f>
        <v>0.00134439838654342</v>
      </c>
      <c r="AX48" s="220" t="n">
        <f aca="false">Algae_electricity_factor/AB48</f>
        <v>0.00133966749567642</v>
      </c>
      <c r="AY48" s="220" t="n">
        <f aca="false">Algae_electricity_factor/AC48</f>
        <v>0.00133678151040061</v>
      </c>
      <c r="AZ48" s="221" t="n">
        <f aca="false">Algae_yield_cost_factor/H48</f>
        <v>0.147512584163297</v>
      </c>
      <c r="BA48" s="197" t="n">
        <f aca="false">Algae_yield_cost_factor/I48</f>
        <v>0.147512584163297</v>
      </c>
      <c r="BB48" s="197" t="n">
        <f aca="false">Algae_yield_cost_factor/J48</f>
        <v>0.147512584163297</v>
      </c>
      <c r="BC48" s="197" t="n">
        <f aca="false">Algae_yield_cost_factor/K48</f>
        <v>0.147512584163297</v>
      </c>
      <c r="BD48" s="197" t="n">
        <f aca="false">Algae_yield_cost_factor/L48</f>
        <v>0.147512584163297</v>
      </c>
      <c r="BE48" s="197" t="n">
        <f aca="false">Algae_yield_cost_factor/M48</f>
        <v>0.140833435511565</v>
      </c>
      <c r="BF48" s="197" t="n">
        <f aca="false">Algae_yield_cost_factor/N48</f>
        <v>0.137111551413203</v>
      </c>
      <c r="BG48" s="197" t="n">
        <f aca="false">Algae_yield_cost_factor/O48</f>
        <v>0.1318014644715</v>
      </c>
      <c r="BH48" s="197" t="n">
        <f aca="false">Algae_yield_cost_factor/P48</f>
        <v>0.124754228654028</v>
      </c>
      <c r="BI48" s="197" t="n">
        <f aca="false">Algae_yield_cost_factor/Q48</f>
        <v>0.116248537307607</v>
      </c>
      <c r="BJ48" s="197" t="n">
        <f aca="false">Algae_yield_cost_factor/R48</f>
        <v>0.107084013927514</v>
      </c>
      <c r="BK48" s="197" t="n">
        <f aca="false">Algae_yield_cost_factor/S48</f>
        <v>0.0983417227755316</v>
      </c>
      <c r="BL48" s="197" t="n">
        <f aca="false">Algae_yield_cost_factor/T48</f>
        <v>0.0909191258766565</v>
      </c>
      <c r="BM48" s="197" t="n">
        <f aca="false">Algae_yield_cost_factor/U48</f>
        <v>0.0852152468924777</v>
      </c>
      <c r="BN48" s="197" t="n">
        <f aca="false">Algae_yield_cost_factor/V48</f>
        <v>0.0811590314979651</v>
      </c>
      <c r="BO48" s="197" t="n">
        <f aca="false">Algae_yield_cost_factor/W48</f>
        <v>0.078430887569165</v>
      </c>
      <c r="BP48" s="197" t="n">
        <f aca="false">Algae_yield_cost_factor/X48</f>
        <v>0.0766640913011942</v>
      </c>
      <c r="BQ48" s="197" t="n">
        <f aca="false">Algae_yield_cost_factor/Y48</f>
        <v>0.0755477511132217</v>
      </c>
      <c r="BR48" s="197" t="n">
        <f aca="false">Algae_yield_cost_factor/Z48</f>
        <v>0.0748533514365591</v>
      </c>
      <c r="BS48" s="197" t="n">
        <f aca="false">Algae_yield_cost_factor/AA48</f>
        <v>0.0744256094002636</v>
      </c>
      <c r="BT48" s="197" t="n">
        <f aca="false">Algae_yield_cost_factor/AB48</f>
        <v>0.0741637082857525</v>
      </c>
      <c r="BU48" s="197" t="n">
        <f aca="false">Algae_yield_cost_factor/AC48</f>
        <v>0.0740039407532844</v>
      </c>
    </row>
    <row r="49" customFormat="false" ht="15" hidden="false" customHeight="false" outlineLevel="0" collapsed="false">
      <c r="A49" s="18" t="s">
        <v>697</v>
      </c>
      <c r="B49" s="18" t="s">
        <v>22</v>
      </c>
      <c r="C49" s="18" t="s">
        <v>683</v>
      </c>
      <c r="D49" s="18" t="s">
        <v>683</v>
      </c>
      <c r="E49" s="28" t="n">
        <v>7.084285</v>
      </c>
      <c r="F49" s="185" t="n">
        <f aca="false">E49/$B$2*$F$3/1000</f>
        <v>0.01735649825</v>
      </c>
      <c r="G49" s="18" t="n">
        <f aca="false">LOOKUP(RIGHT(D49,5),Ref!$C$4:$C$21,Ref!$E$4:$E$21)*$G$3</f>
        <v>3</v>
      </c>
      <c r="H49" s="218" t="n">
        <f aca="false">$E49</f>
        <v>7.084285</v>
      </c>
      <c r="I49" s="177" t="n">
        <f aca="false">$E49</f>
        <v>7.084285</v>
      </c>
      <c r="J49" s="177" t="n">
        <f aca="false">$E49</f>
        <v>7.084285</v>
      </c>
      <c r="K49" s="177" t="n">
        <f aca="false">$E49</f>
        <v>7.084285</v>
      </c>
      <c r="L49" s="177" t="n">
        <f aca="false">$E49</f>
        <v>7.084285</v>
      </c>
      <c r="M49" s="177" t="n">
        <f aca="false">M$3*$E49</f>
        <v>7.42026340196374</v>
      </c>
      <c r="N49" s="177" t="n">
        <f aca="false">N$3*$E49</f>
        <v>7.6216859668518</v>
      </c>
      <c r="O49" s="177" t="n">
        <f aca="false">O$3*$E49</f>
        <v>7.92875247243746</v>
      </c>
      <c r="P49" s="177" t="n">
        <f aca="false">P$3*$E49</f>
        <v>8.37663940191851</v>
      </c>
      <c r="Q49" s="177" t="n">
        <f aca="false">Q$3*$E49</f>
        <v>8.98954267729014</v>
      </c>
      <c r="R49" s="177" t="n">
        <f aca="false">R$3*$E49</f>
        <v>9.75889069685667</v>
      </c>
      <c r="S49" s="177" t="n">
        <f aca="false">S$3*$E49</f>
        <v>10.6264275</v>
      </c>
      <c r="T49" s="177" t="n">
        <f aca="false">T$3*$E49</f>
        <v>11.4939643031433</v>
      </c>
      <c r="U49" s="177" t="n">
        <f aca="false">U$3*$E49</f>
        <v>12.2633123227099</v>
      </c>
      <c r="V49" s="177" t="n">
        <f aca="false">V$3*$E49</f>
        <v>12.8762155980815</v>
      </c>
      <c r="W49" s="177" t="n">
        <f aca="false">W$3*$E49</f>
        <v>13.3241025275625</v>
      </c>
      <c r="X49" s="177" t="n">
        <f aca="false">X$3*$E49</f>
        <v>13.6311690331482</v>
      </c>
      <c r="Y49" s="177" t="n">
        <f aca="false">Y$3*$E49</f>
        <v>13.8325915980363</v>
      </c>
      <c r="Z49" s="177" t="n">
        <f aca="false">Z$3*$E49</f>
        <v>13.9609138033716</v>
      </c>
      <c r="AA49" s="177" t="n">
        <f aca="false">AA$3*$E49</f>
        <v>14.0411505625587</v>
      </c>
      <c r="AB49" s="177" t="n">
        <f aca="false">AB$3*$E49</f>
        <v>14.0907353671262</v>
      </c>
      <c r="AC49" s="177" t="n">
        <f aca="false">AC$3*$E49</f>
        <v>14.1211559365899</v>
      </c>
      <c r="AD49" s="219" t="n">
        <f aca="false">Algae_electricity_factor/H49</f>
        <v>0.00194001188596016</v>
      </c>
      <c r="AE49" s="220" t="n">
        <f aca="false">Algae_electricity_factor/I49</f>
        <v>0.00194001188596016</v>
      </c>
      <c r="AF49" s="220" t="n">
        <f aca="false">Algae_electricity_factor/J49</f>
        <v>0.00194001188596016</v>
      </c>
      <c r="AG49" s="220" t="n">
        <f aca="false">Algae_electricity_factor/K49</f>
        <v>0.00194001188596016</v>
      </c>
      <c r="AH49" s="220" t="n">
        <f aca="false">Algae_electricity_factor/L49</f>
        <v>0.00194001188596016</v>
      </c>
      <c r="AI49" s="220" t="n">
        <f aca="false">Algae_electricity_factor/M49</f>
        <v>0.00185217105633906</v>
      </c>
      <c r="AJ49" s="220" t="n">
        <f aca="false">Algae_electricity_factor/N49</f>
        <v>0.00180322269420478</v>
      </c>
      <c r="AK49" s="220" t="n">
        <f aca="false">Algae_electricity_factor/O49</f>
        <v>0.0017333870809192</v>
      </c>
      <c r="AL49" s="220" t="n">
        <f aca="false">Algae_electricity_factor/P49</f>
        <v>0.00164070535260018</v>
      </c>
      <c r="AM49" s="220" t="n">
        <f aca="false">Algae_electricity_factor/Q49</f>
        <v>0.0015288427450541</v>
      </c>
      <c r="AN49" s="220" t="n">
        <f aca="false">Algae_electricity_factor/R49</f>
        <v>0.00140831550741275</v>
      </c>
      <c r="AO49" s="220" t="n">
        <f aca="false">Algae_electricity_factor/S49</f>
        <v>0.00129334125730677</v>
      </c>
      <c r="AP49" s="220" t="n">
        <f aca="false">Algae_electricity_factor/T49</f>
        <v>0.0011957229673813</v>
      </c>
      <c r="AQ49" s="220" t="n">
        <f aca="false">Algae_electricity_factor/U49</f>
        <v>0.0011207083976878</v>
      </c>
      <c r="AR49" s="220" t="n">
        <f aca="false">Algae_electricity_factor/V49</f>
        <v>0.00106736307720546</v>
      </c>
      <c r="AS49" s="220" t="n">
        <f aca="false">Algae_electricity_factor/W49</f>
        <v>0.00103148388982289</v>
      </c>
      <c r="AT49" s="220" t="n">
        <f aca="false">Algae_electricity_factor/X49</f>
        <v>0.00100824786708371</v>
      </c>
      <c r="AU49" s="220" t="n">
        <f aca="false">Algae_electricity_factor/Y49</f>
        <v>0.000993566318077399</v>
      </c>
      <c r="AV49" s="220" t="n">
        <f aca="false">Algae_electricity_factor/Z49</f>
        <v>0.000984433920092689</v>
      </c>
      <c r="AW49" s="220" t="n">
        <f aca="false">Algae_electricity_factor/AA49</f>
        <v>0.000978808470309913</v>
      </c>
      <c r="AX49" s="220" t="n">
        <f aca="false">Algae_electricity_factor/AB49</f>
        <v>0.000975364077562137</v>
      </c>
      <c r="AY49" s="220" t="n">
        <f aca="false">Algae_electricity_factor/AC49</f>
        <v>0.000973262894712303</v>
      </c>
      <c r="AZ49" s="221" t="n">
        <f aca="false">Algae_yield_cost_factor/H49</f>
        <v>0.107398646339922</v>
      </c>
      <c r="BA49" s="197" t="n">
        <f aca="false">Algae_yield_cost_factor/I49</f>
        <v>0.107398646339922</v>
      </c>
      <c r="BB49" s="197" t="n">
        <f aca="false">Algae_yield_cost_factor/J49</f>
        <v>0.107398646339922</v>
      </c>
      <c r="BC49" s="197" t="n">
        <f aca="false">Algae_yield_cost_factor/K49</f>
        <v>0.107398646339922</v>
      </c>
      <c r="BD49" s="197" t="n">
        <f aca="false">Algae_yield_cost_factor/L49</f>
        <v>0.107398646339922</v>
      </c>
      <c r="BE49" s="197" t="n">
        <f aca="false">Algae_yield_cost_factor/M49</f>
        <v>0.102535796651756</v>
      </c>
      <c r="BF49" s="197" t="n">
        <f aca="false">Algae_yield_cost_factor/N49</f>
        <v>0.099826025710751</v>
      </c>
      <c r="BG49" s="197" t="n">
        <f aca="false">Algae_yield_cost_factor/O49</f>
        <v>0.0959599409782457</v>
      </c>
      <c r="BH49" s="197" t="n">
        <f aca="false">Algae_yield_cost_factor/P49</f>
        <v>0.090829100165391</v>
      </c>
      <c r="BI49" s="197" t="n">
        <f aca="false">Algae_yield_cost_factor/Q49</f>
        <v>0.0846364099486728</v>
      </c>
      <c r="BJ49" s="197" t="n">
        <f aca="false">Algae_yield_cost_factor/R49</f>
        <v>0.077964047648498</v>
      </c>
      <c r="BK49" s="197" t="n">
        <f aca="false">Algae_yield_cost_factor/S49</f>
        <v>0.0715990975599483</v>
      </c>
      <c r="BL49" s="197" t="n">
        <f aca="false">Algae_yield_cost_factor/T49</f>
        <v>0.0661949697440895</v>
      </c>
      <c r="BM49" s="197" t="n">
        <f aca="false">Algae_yield_cost_factor/U49</f>
        <v>0.0620421790838066</v>
      </c>
      <c r="BN49" s="197" t="n">
        <f aca="false">Algae_yield_cost_factor/V49</f>
        <v>0.0590889934616799</v>
      </c>
      <c r="BO49" s="197" t="n">
        <f aca="false">Algae_yield_cost_factor/W49</f>
        <v>0.0571027292616761</v>
      </c>
      <c r="BP49" s="197" t="n">
        <f aca="false">Algae_yield_cost_factor/X49</f>
        <v>0.055816387973475</v>
      </c>
      <c r="BQ49" s="197" t="n">
        <f aca="false">Algae_yield_cost_factor/Y49</f>
        <v>0.0550036205358821</v>
      </c>
      <c r="BR49" s="197" t="n">
        <f aca="false">Algae_yield_cost_factor/Z49</f>
        <v>0.054498052921326</v>
      </c>
      <c r="BS49" s="197" t="n">
        <f aca="false">Algae_yield_cost_factor/AA49</f>
        <v>0.0541866292150613</v>
      </c>
      <c r="BT49" s="197" t="n">
        <f aca="false">Algae_yield_cost_factor/AB49</f>
        <v>0.053995948363438</v>
      </c>
      <c r="BU49" s="197" t="n">
        <f aca="false">Algae_yield_cost_factor/AC49</f>
        <v>0.0538796273267382</v>
      </c>
    </row>
    <row r="50" customFormat="false" ht="15" hidden="false" customHeight="false" outlineLevel="0" collapsed="false">
      <c r="A50" s="18" t="s">
        <v>697</v>
      </c>
      <c r="B50" s="18" t="s">
        <v>22</v>
      </c>
      <c r="C50" s="18" t="s">
        <v>686</v>
      </c>
      <c r="D50" s="18" t="s">
        <v>686</v>
      </c>
      <c r="E50" s="28" t="n">
        <v>6.45028</v>
      </c>
      <c r="F50" s="185" t="n">
        <f aca="false">E50/$B$2*$F$3/1000</f>
        <v>0.015803186</v>
      </c>
      <c r="G50" s="18" t="n">
        <f aca="false">LOOKUP(RIGHT(D50,5),Ref!$C$4:$C$21,Ref!$E$4:$E$21)*$G$3</f>
        <v>4.5</v>
      </c>
      <c r="H50" s="218" t="n">
        <f aca="false">$E50</f>
        <v>6.45028</v>
      </c>
      <c r="I50" s="177" t="n">
        <f aca="false">$E50</f>
        <v>6.45028</v>
      </c>
      <c r="J50" s="177" t="n">
        <f aca="false">$E50</f>
        <v>6.45028</v>
      </c>
      <c r="K50" s="177" t="n">
        <f aca="false">$E50</f>
        <v>6.45028</v>
      </c>
      <c r="L50" s="177" t="n">
        <f aca="false">$E50</f>
        <v>6.45028</v>
      </c>
      <c r="M50" s="177" t="n">
        <f aca="false">M$3*$E50</f>
        <v>6.7561901612398</v>
      </c>
      <c r="N50" s="177" t="n">
        <f aca="false">N$3*$E50</f>
        <v>6.93958650142743</v>
      </c>
      <c r="O50" s="177" t="n">
        <f aca="false">O$3*$E50</f>
        <v>7.21917222386082</v>
      </c>
      <c r="P50" s="177" t="n">
        <f aca="false">P$3*$E50</f>
        <v>7.62697570769767</v>
      </c>
      <c r="Q50" s="177" t="n">
        <f aca="false">Q$3*$E50</f>
        <v>8.18502747143445</v>
      </c>
      <c r="R50" s="177" t="n">
        <f aca="false">R$3*$E50</f>
        <v>8.8855230251353</v>
      </c>
      <c r="S50" s="177" t="n">
        <f aca="false">S$3*$E50</f>
        <v>9.67542</v>
      </c>
      <c r="T50" s="177" t="n">
        <f aca="false">T$3*$E50</f>
        <v>10.4653169748647</v>
      </c>
      <c r="U50" s="177" t="n">
        <f aca="false">U$3*$E50</f>
        <v>11.1658125285655</v>
      </c>
      <c r="V50" s="177" t="n">
        <f aca="false">V$3*$E50</f>
        <v>11.7238642923023</v>
      </c>
      <c r="W50" s="177" t="n">
        <f aca="false">W$3*$E50</f>
        <v>12.1316677761392</v>
      </c>
      <c r="X50" s="177" t="n">
        <f aca="false">X$3*$E50</f>
        <v>12.4112534985726</v>
      </c>
      <c r="Y50" s="177" t="n">
        <f aca="false">Y$3*$E50</f>
        <v>12.5946498387602</v>
      </c>
      <c r="Z50" s="177" t="n">
        <f aca="false">Z$3*$E50</f>
        <v>12.7114879042291</v>
      </c>
      <c r="AA50" s="177" t="n">
        <f aca="false">AA$3*$E50</f>
        <v>12.7845439096057</v>
      </c>
      <c r="AB50" s="177" t="n">
        <f aca="false">AB$3*$E50</f>
        <v>12.8296911436887</v>
      </c>
      <c r="AC50" s="177" t="n">
        <f aca="false">AC$3*$E50</f>
        <v>12.8573892375401</v>
      </c>
      <c r="AD50" s="219" t="n">
        <f aca="false">Algae_electricity_factor/H50</f>
        <v>0.00213069775320285</v>
      </c>
      <c r="AE50" s="220" t="n">
        <f aca="false">Algae_electricity_factor/I50</f>
        <v>0.00213069775320285</v>
      </c>
      <c r="AF50" s="220" t="n">
        <f aca="false">Algae_electricity_factor/J50</f>
        <v>0.00213069775320285</v>
      </c>
      <c r="AG50" s="220" t="n">
        <f aca="false">Algae_electricity_factor/K50</f>
        <v>0.00213069775320285</v>
      </c>
      <c r="AH50" s="220" t="n">
        <f aca="false">Algae_electricity_factor/L50</f>
        <v>0.00213069775320285</v>
      </c>
      <c r="AI50" s="220" t="n">
        <f aca="false">Algae_electricity_factor/M50</f>
        <v>0.0020342229534</v>
      </c>
      <c r="AJ50" s="220" t="n">
        <f aca="false">Algae_electricity_factor/N50</f>
        <v>0.00198046340379247</v>
      </c>
      <c r="AK50" s="220" t="n">
        <f aca="false">Algae_electricity_factor/O50</f>
        <v>0.00190376357251928</v>
      </c>
      <c r="AL50" s="220" t="n">
        <f aca="false">Algae_electricity_factor/P50</f>
        <v>0.00180197205684794</v>
      </c>
      <c r="AM50" s="220" t="n">
        <f aca="false">Algae_electricity_factor/Q50</f>
        <v>0.00167911435257781</v>
      </c>
      <c r="AN50" s="220" t="n">
        <f aca="false">Algae_electricity_factor/R50</f>
        <v>0.00154674036234575</v>
      </c>
      <c r="AO50" s="220" t="n">
        <f aca="false">Algae_electricity_factor/S50</f>
        <v>0.0014204651688019</v>
      </c>
      <c r="AP50" s="220" t="n">
        <f aca="false">Algae_electricity_factor/T50</f>
        <v>0.00131325187154276</v>
      </c>
      <c r="AQ50" s="220" t="n">
        <f aca="false">Algae_electricity_factor/U50</f>
        <v>0.00123086403863301</v>
      </c>
      <c r="AR50" s="220" t="n">
        <f aca="false">Algae_electricity_factor/V50</f>
        <v>0.00117227534888416</v>
      </c>
      <c r="AS50" s="220" t="n">
        <f aca="false">Algae_electricity_factor/W50</f>
        <v>0.00113286955735472</v>
      </c>
      <c r="AT50" s="220" t="n">
        <f aca="false">Algae_electricity_factor/X50</f>
        <v>0.00110734964080058</v>
      </c>
      <c r="AU50" s="220" t="n">
        <f aca="false">Algae_electricity_factor/Y50</f>
        <v>0.00109122502645791</v>
      </c>
      <c r="AV50" s="220" t="n">
        <f aca="false">Algae_electricity_factor/Z50</f>
        <v>0.0010811949951946</v>
      </c>
      <c r="AW50" s="220" t="n">
        <f aca="false">Algae_electricity_factor/AA50</f>
        <v>0.00107501661386629</v>
      </c>
      <c r="AX50" s="220" t="n">
        <f aca="false">Algae_electricity_factor/AB50</f>
        <v>0.00107123366802872</v>
      </c>
      <c r="AY50" s="220" t="n">
        <f aca="false">Algae_electricity_factor/AC50</f>
        <v>0.00106892595764323</v>
      </c>
      <c r="AZ50" s="221" t="n">
        <f aca="false">Algae_yield_cost_factor/H50</f>
        <v>0.117954975487299</v>
      </c>
      <c r="BA50" s="197" t="n">
        <f aca="false">Algae_yield_cost_factor/I50</f>
        <v>0.117954975487299</v>
      </c>
      <c r="BB50" s="197" t="n">
        <f aca="false">Algae_yield_cost_factor/J50</f>
        <v>0.117954975487299</v>
      </c>
      <c r="BC50" s="197" t="n">
        <f aca="false">Algae_yield_cost_factor/K50</f>
        <v>0.117954975487299</v>
      </c>
      <c r="BD50" s="197" t="n">
        <f aca="false">Algae_yield_cost_factor/L50</f>
        <v>0.117954975487299</v>
      </c>
      <c r="BE50" s="197" t="n">
        <f aca="false">Algae_yield_cost_factor/M50</f>
        <v>0.112614151041983</v>
      </c>
      <c r="BF50" s="197" t="n">
        <f aca="false">Algae_yield_cost_factor/N50</f>
        <v>0.109638033783384</v>
      </c>
      <c r="BG50" s="197" t="n">
        <f aca="false">Algae_yield_cost_factor/O50</f>
        <v>0.105391947399659</v>
      </c>
      <c r="BH50" s="197" t="n">
        <f aca="false">Algae_yield_cost_factor/P50</f>
        <v>0.0997567906920594</v>
      </c>
      <c r="BI50" s="197" t="n">
        <f aca="false">Algae_yield_cost_factor/Q50</f>
        <v>0.092955414253836</v>
      </c>
      <c r="BJ50" s="197" t="n">
        <f aca="false">Algae_yield_cost_factor/R50</f>
        <v>0.0856272182440979</v>
      </c>
      <c r="BK50" s="197" t="n">
        <f aca="false">Algae_yield_cost_factor/S50</f>
        <v>0.0786366503248663</v>
      </c>
      <c r="BL50" s="197" t="n">
        <f aca="false">Algae_yield_cost_factor/T50</f>
        <v>0.072701344939058</v>
      </c>
      <c r="BM50" s="197" t="n">
        <f aca="false">Algae_yield_cost_factor/U50</f>
        <v>0.0681403719917159</v>
      </c>
      <c r="BN50" s="197" t="n">
        <f aca="false">Algae_yield_cost_factor/V50</f>
        <v>0.064896914559628</v>
      </c>
      <c r="BO50" s="197" t="n">
        <f aca="false">Algae_yield_cost_factor/W50</f>
        <v>0.062715418302392</v>
      </c>
      <c r="BP50" s="197" t="n">
        <f aca="false">Algae_yield_cost_factor/X50</f>
        <v>0.0613026411372327</v>
      </c>
      <c r="BQ50" s="197" t="n">
        <f aca="false">Algae_yield_cost_factor/Y50</f>
        <v>0.0604099859088352</v>
      </c>
      <c r="BR50" s="197" t="n">
        <f aca="false">Algae_yield_cost_factor/Z50</f>
        <v>0.0598547255064518</v>
      </c>
      <c r="BS50" s="197" t="n">
        <f aca="false">Algae_yield_cost_factor/AA50</f>
        <v>0.0595126916271573</v>
      </c>
      <c r="BT50" s="197" t="n">
        <f aca="false">Algae_yield_cost_factor/AB50</f>
        <v>0.0593032685483233</v>
      </c>
      <c r="BU50" s="197" t="n">
        <f aca="false">Algae_yield_cost_factor/AC50</f>
        <v>0.0591755141910741</v>
      </c>
    </row>
    <row r="51" customFormat="false" ht="15" hidden="false" customHeight="false" outlineLevel="0" collapsed="false">
      <c r="A51" s="18" t="s">
        <v>698</v>
      </c>
      <c r="B51" s="18" t="s">
        <v>22</v>
      </c>
      <c r="C51" s="18" t="s">
        <v>683</v>
      </c>
      <c r="D51" s="18" t="s">
        <v>683</v>
      </c>
      <c r="E51" s="28" t="n">
        <v>5.35309</v>
      </c>
      <c r="F51" s="185" t="n">
        <f aca="false">E51/$B$2*$F$3/1000</f>
        <v>0.0131150705</v>
      </c>
      <c r="G51" s="18" t="n">
        <f aca="false">LOOKUP(RIGHT(D51,5),Ref!$C$4:$C$21,Ref!$E$4:$E$21)*$G$3</f>
        <v>3</v>
      </c>
      <c r="H51" s="218" t="n">
        <f aca="false">$E51</f>
        <v>5.35309</v>
      </c>
      <c r="I51" s="177" t="n">
        <f aca="false">$E51</f>
        <v>5.35309</v>
      </c>
      <c r="J51" s="177" t="n">
        <f aca="false">$E51</f>
        <v>5.35309</v>
      </c>
      <c r="K51" s="177" t="n">
        <f aca="false">$E51</f>
        <v>5.35309</v>
      </c>
      <c r="L51" s="177" t="n">
        <f aca="false">$E51</f>
        <v>5.35309</v>
      </c>
      <c r="M51" s="177" t="n">
        <f aca="false">M$3*$E51</f>
        <v>5.6069649674481</v>
      </c>
      <c r="N51" s="177" t="n">
        <f aca="false">N$3*$E51</f>
        <v>5.75916566488992</v>
      </c>
      <c r="O51" s="177" t="n">
        <f aca="false">O$3*$E51</f>
        <v>5.99119396984738</v>
      </c>
      <c r="P51" s="177" t="n">
        <f aca="false">P$3*$E51</f>
        <v>6.32963024723257</v>
      </c>
      <c r="Q51" s="177" t="n">
        <f aca="false">Q$3*$E51</f>
        <v>6.79275763332151</v>
      </c>
      <c r="R51" s="177" t="n">
        <f aca="false">R$3*$E51</f>
        <v>7.37409917873667</v>
      </c>
      <c r="S51" s="177" t="n">
        <f aca="false">S$3*$E51</f>
        <v>8.029635</v>
      </c>
      <c r="T51" s="177" t="n">
        <f aca="false">T$3*$E51</f>
        <v>8.68517082126334</v>
      </c>
      <c r="U51" s="177" t="n">
        <f aca="false">U$3*$E51</f>
        <v>9.26651236667849</v>
      </c>
      <c r="V51" s="177" t="n">
        <f aca="false">V$3*$E51</f>
        <v>9.72963975276743</v>
      </c>
      <c r="W51" s="177" t="n">
        <f aca="false">W$3*$E51</f>
        <v>10.0680760301526</v>
      </c>
      <c r="X51" s="177" t="n">
        <f aca="false">X$3*$E51</f>
        <v>10.3001043351101</v>
      </c>
      <c r="Y51" s="177" t="n">
        <f aca="false">Y$3*$E51</f>
        <v>10.4523050325519</v>
      </c>
      <c r="Z51" s="177" t="n">
        <f aca="false">Z$3*$E51</f>
        <v>10.5492689906872</v>
      </c>
      <c r="AA51" s="177" t="n">
        <f aca="false">AA$3*$E51</f>
        <v>10.609898199314</v>
      </c>
      <c r="AB51" s="177" t="n">
        <f aca="false">AB$3*$E51</f>
        <v>10.6473659072736</v>
      </c>
      <c r="AC51" s="177" t="n">
        <f aca="false">AC$3*$E51</f>
        <v>10.6703525666457</v>
      </c>
      <c r="AD51" s="219" t="n">
        <f aca="false">Algae_electricity_factor/H51</f>
        <v>0.00256741379344066</v>
      </c>
      <c r="AE51" s="220" t="n">
        <f aca="false">Algae_electricity_factor/I51</f>
        <v>0.00256741379344066</v>
      </c>
      <c r="AF51" s="220" t="n">
        <f aca="false">Algae_electricity_factor/J51</f>
        <v>0.00256741379344066</v>
      </c>
      <c r="AG51" s="220" t="n">
        <f aca="false">Algae_electricity_factor/K51</f>
        <v>0.00256741379344066</v>
      </c>
      <c r="AH51" s="220" t="n">
        <f aca="false">Algae_electricity_factor/L51</f>
        <v>0.00256741379344066</v>
      </c>
      <c r="AI51" s="220" t="n">
        <f aca="false">Algae_electricity_factor/M51</f>
        <v>0.00245116514608515</v>
      </c>
      <c r="AJ51" s="220" t="n">
        <f aca="false">Algae_electricity_factor/N51</f>
        <v>0.00238638683157102</v>
      </c>
      <c r="AK51" s="220" t="n">
        <f aca="false">Algae_electricity_factor/O51</f>
        <v>0.00229396630666581</v>
      </c>
      <c r="AL51" s="220" t="n">
        <f aca="false">Algae_electricity_factor/P51</f>
        <v>0.00217131120882428</v>
      </c>
      <c r="AM51" s="220" t="n">
        <f aca="false">Algae_electricity_factor/Q51</f>
        <v>0.00202327211501126</v>
      </c>
      <c r="AN51" s="220" t="n">
        <f aca="false">Algae_electricity_factor/R51</f>
        <v>0.00186376624051371</v>
      </c>
      <c r="AO51" s="220" t="n">
        <f aca="false">Algae_electricity_factor/S51</f>
        <v>0.00171160919562711</v>
      </c>
      <c r="AP51" s="220" t="n">
        <f aca="false">Algae_electricity_factor/T51</f>
        <v>0.00158242104690465</v>
      </c>
      <c r="AQ51" s="220" t="n">
        <f aca="false">Algae_electricity_factor/U51</f>
        <v>0.00148314668558043</v>
      </c>
      <c r="AR51" s="220" t="n">
        <f aca="false">Algae_electricity_factor/V51</f>
        <v>0.0014125494317115</v>
      </c>
      <c r="AS51" s="220" t="n">
        <f aca="false">Algae_electricity_factor/W51</f>
        <v>0.00136506687696526</v>
      </c>
      <c r="AT51" s="220" t="n">
        <f aca="false">Algae_electricity_factor/X51</f>
        <v>0.00133431629975643</v>
      </c>
      <c r="AU51" s="220" t="n">
        <f aca="false">Algae_electricity_factor/Y51</f>
        <v>0.00131488672218493</v>
      </c>
      <c r="AV51" s="220" t="n">
        <f aca="false">Algae_electricity_factor/Z51</f>
        <v>0.00130280089697798</v>
      </c>
      <c r="AW51" s="220" t="n">
        <f aca="false">Algae_electricity_factor/AA51</f>
        <v>0.00129535617075175</v>
      </c>
      <c r="AX51" s="220" t="n">
        <f aca="false">Algae_electricity_factor/AB51</f>
        <v>0.00129079785772559</v>
      </c>
      <c r="AY51" s="220" t="n">
        <f aca="false">Algae_electricity_factor/AC51</f>
        <v>0.00128801715010712</v>
      </c>
      <c r="AZ51" s="221" t="n">
        <f aca="false">Algae_yield_cost_factor/H51</f>
        <v>0.142131482804552</v>
      </c>
      <c r="BA51" s="197" t="n">
        <f aca="false">Algae_yield_cost_factor/I51</f>
        <v>0.142131482804552</v>
      </c>
      <c r="BB51" s="197" t="n">
        <f aca="false">Algae_yield_cost_factor/J51</f>
        <v>0.142131482804552</v>
      </c>
      <c r="BC51" s="197" t="n">
        <f aca="false">Algae_yield_cost_factor/K51</f>
        <v>0.142131482804552</v>
      </c>
      <c r="BD51" s="197" t="n">
        <f aca="false">Algae_yield_cost_factor/L51</f>
        <v>0.142131482804552</v>
      </c>
      <c r="BE51" s="197" t="n">
        <f aca="false">Algae_yield_cost_factor/M51</f>
        <v>0.135695982354693</v>
      </c>
      <c r="BF51" s="197" t="n">
        <f aca="false">Algae_yield_cost_factor/N51</f>
        <v>0.132109868609025</v>
      </c>
      <c r="BG51" s="197" t="n">
        <f aca="false">Algae_yield_cost_factor/O51</f>
        <v>0.126993487961733</v>
      </c>
      <c r="BH51" s="197" t="n">
        <f aca="false">Algae_yield_cost_factor/P51</f>
        <v>0.120203327772404</v>
      </c>
      <c r="BI51" s="197" t="n">
        <f aca="false">Algae_yield_cost_factor/Q51</f>
        <v>0.112007914952529</v>
      </c>
      <c r="BJ51" s="197" t="n">
        <f aca="false">Algae_yield_cost_factor/R51</f>
        <v>0.103177703587188</v>
      </c>
      <c r="BK51" s="197" t="n">
        <f aca="false">Algae_yield_cost_factor/S51</f>
        <v>0.0947543218697012</v>
      </c>
      <c r="BL51" s="197" t="n">
        <f aca="false">Algae_yield_cost_factor/T51</f>
        <v>0.0876024933699055</v>
      </c>
      <c r="BM51" s="197" t="n">
        <f aca="false">Algae_yield_cost_factor/U51</f>
        <v>0.0821066857928271</v>
      </c>
      <c r="BN51" s="197" t="n">
        <f aca="false">Algae_yield_cost_factor/V51</f>
        <v>0.0781984367992462</v>
      </c>
      <c r="BO51" s="197" t="n">
        <f aca="false">Algae_yield_cost_factor/W51</f>
        <v>0.0755698126442023</v>
      </c>
      <c r="BP51" s="197" t="n">
        <f aca="false">Algae_yield_cost_factor/X51</f>
        <v>0.0738674672151354</v>
      </c>
      <c r="BQ51" s="197" t="n">
        <f aca="false">Algae_yield_cost_factor/Y51</f>
        <v>0.0727918499236967</v>
      </c>
      <c r="BR51" s="197" t="n">
        <f aca="false">Algae_yield_cost_factor/Z51</f>
        <v>0.0721227812048286</v>
      </c>
      <c r="BS51" s="197" t="n">
        <f aca="false">Algae_yield_cost_factor/AA51</f>
        <v>0.0717106427407013</v>
      </c>
      <c r="BT51" s="197" t="n">
        <f aca="false">Algae_yield_cost_factor/AB51</f>
        <v>0.0714582954988387</v>
      </c>
      <c r="BU51" s="197" t="n">
        <f aca="false">Algae_yield_cost_factor/AC51</f>
        <v>0.0713043561151412</v>
      </c>
    </row>
    <row r="52" customFormat="false" ht="15" hidden="false" customHeight="false" outlineLevel="0" collapsed="false">
      <c r="A52" s="18" t="s">
        <v>698</v>
      </c>
      <c r="B52" s="18" t="s">
        <v>22</v>
      </c>
      <c r="C52" s="18" t="s">
        <v>684</v>
      </c>
      <c r="D52" s="18" t="s">
        <v>684</v>
      </c>
      <c r="E52" s="28" t="n">
        <v>5.583405</v>
      </c>
      <c r="F52" s="185" t="n">
        <f aca="false">E52/$B$2*$F$3/1000</f>
        <v>0.01367934225</v>
      </c>
      <c r="G52" s="18" t="n">
        <f aca="false">LOOKUP(RIGHT(D52,5),Ref!$C$4:$C$21,Ref!$E$4:$E$21)*$G$3</f>
        <v>3.5</v>
      </c>
      <c r="H52" s="218" t="n">
        <f aca="false">$E52</f>
        <v>5.583405</v>
      </c>
      <c r="I52" s="177" t="n">
        <f aca="false">$E52</f>
        <v>5.583405</v>
      </c>
      <c r="J52" s="177" t="n">
        <f aca="false">$E52</f>
        <v>5.583405</v>
      </c>
      <c r="K52" s="177" t="n">
        <f aca="false">$E52</f>
        <v>5.583405</v>
      </c>
      <c r="L52" s="177" t="n">
        <f aca="false">$E52</f>
        <v>5.583405</v>
      </c>
      <c r="M52" s="177" t="n">
        <f aca="false">M$3*$E52</f>
        <v>5.84820285742899</v>
      </c>
      <c r="N52" s="177" t="n">
        <f aca="false">N$3*$E52</f>
        <v>6.00695194162151</v>
      </c>
      <c r="O52" s="177" t="n">
        <f aca="false">O$3*$E52</f>
        <v>6.2489631908329</v>
      </c>
      <c r="P52" s="177" t="n">
        <f aca="false">P$3*$E52</f>
        <v>6.60196058174803</v>
      </c>
      <c r="Q52" s="177" t="n">
        <f aca="false">Q$3*$E52</f>
        <v>7.08501387678434</v>
      </c>
      <c r="R52" s="177" t="n">
        <f aca="false">R$3*$E52</f>
        <v>7.69136745787091</v>
      </c>
      <c r="S52" s="177" t="n">
        <f aca="false">S$3*$E52</f>
        <v>8.3751075</v>
      </c>
      <c r="T52" s="177" t="n">
        <f aca="false">T$3*$E52</f>
        <v>9.05884754212909</v>
      </c>
      <c r="U52" s="177" t="n">
        <f aca="false">U$3*$E52</f>
        <v>9.66520112321566</v>
      </c>
      <c r="V52" s="177" t="n">
        <f aca="false">V$3*$E52</f>
        <v>10.148254418252</v>
      </c>
      <c r="W52" s="177" t="n">
        <f aca="false">W$3*$E52</f>
        <v>10.5012518091671</v>
      </c>
      <c r="X52" s="177" t="n">
        <f aca="false">X$3*$E52</f>
        <v>10.7432630583785</v>
      </c>
      <c r="Y52" s="177" t="n">
        <f aca="false">Y$3*$E52</f>
        <v>10.902012142571</v>
      </c>
      <c r="Z52" s="177" t="n">
        <f aca="false">Z$3*$E52</f>
        <v>11.0031479442617</v>
      </c>
      <c r="AA52" s="177" t="n">
        <f aca="false">AA$3*$E52</f>
        <v>11.0663857053666</v>
      </c>
      <c r="AB52" s="177" t="n">
        <f aca="false">AB$3*$E52</f>
        <v>11.1054654495816</v>
      </c>
      <c r="AC52" s="177" t="n">
        <f aca="false">AC$3*$E52</f>
        <v>11.1294411026851</v>
      </c>
      <c r="AD52" s="219" t="n">
        <f aca="false">Algae_electricity_factor/H52</f>
        <v>0.0024615081842584</v>
      </c>
      <c r="AE52" s="220" t="n">
        <f aca="false">Algae_electricity_factor/I52</f>
        <v>0.0024615081842584</v>
      </c>
      <c r="AF52" s="220" t="n">
        <f aca="false">Algae_electricity_factor/J52</f>
        <v>0.0024615081842584</v>
      </c>
      <c r="AG52" s="220" t="n">
        <f aca="false">Algae_electricity_factor/K52</f>
        <v>0.0024615081842584</v>
      </c>
      <c r="AH52" s="220" t="n">
        <f aca="false">Algae_electricity_factor/L52</f>
        <v>0.0024615081842584</v>
      </c>
      <c r="AI52" s="220" t="n">
        <f aca="false">Algae_electricity_factor/M52</f>
        <v>0.002350054784107</v>
      </c>
      <c r="AJ52" s="220" t="n">
        <f aca="false">Algae_electricity_factor/N52</f>
        <v>0.0022879485697732</v>
      </c>
      <c r="AK52" s="220" t="n">
        <f aca="false">Algae_electricity_factor/O52</f>
        <v>0.00219934038396815</v>
      </c>
      <c r="AL52" s="220" t="n">
        <f aca="false">Algae_electricity_factor/P52</f>
        <v>0.00208174479888977</v>
      </c>
      <c r="AM52" s="220" t="n">
        <f aca="false">Algae_electricity_factor/Q52</f>
        <v>0.00193981230559947</v>
      </c>
      <c r="AN52" s="220" t="n">
        <f aca="false">Algae_electricity_factor/R52</f>
        <v>0.00178688603539086</v>
      </c>
      <c r="AO52" s="220" t="n">
        <f aca="false">Algae_electricity_factor/S52</f>
        <v>0.00164100545617227</v>
      </c>
      <c r="AP52" s="220" t="n">
        <f aca="false">Algae_electricity_factor/T52</f>
        <v>0.00151714630802795</v>
      </c>
      <c r="AQ52" s="220" t="n">
        <f aca="false">Algae_electricity_factor/U52</f>
        <v>0.00142196700599611</v>
      </c>
      <c r="AR52" s="220" t="n">
        <f aca="false">Algae_electricity_factor/V52</f>
        <v>0.0013542818830804</v>
      </c>
      <c r="AS52" s="220" t="n">
        <f aca="false">Algae_electricity_factor/W52</f>
        <v>0.00130875797983739</v>
      </c>
      <c r="AT52" s="220" t="n">
        <f aca="false">Algae_electricity_factor/X52</f>
        <v>0.00127927586142563</v>
      </c>
      <c r="AU52" s="220" t="n">
        <f aca="false">Algae_electricity_factor/Y52</f>
        <v>0.00126064775234126</v>
      </c>
      <c r="AV52" s="220" t="n">
        <f aca="false">Algae_electricity_factor/Z52</f>
        <v>0.00124906046643649</v>
      </c>
      <c r="AW52" s="220" t="n">
        <f aca="false">Algae_electricity_factor/AA52</f>
        <v>0.00124192283455874</v>
      </c>
      <c r="AX52" s="220" t="n">
        <f aca="false">Algae_electricity_factor/AB52</f>
        <v>0.00123755255157243</v>
      </c>
      <c r="AY52" s="220" t="n">
        <f aca="false">Algae_electricity_factor/AC52</f>
        <v>0.001234886547916</v>
      </c>
      <c r="AZ52" s="221" t="n">
        <f aca="false">Algae_yield_cost_factor/H52</f>
        <v>0.136268570753191</v>
      </c>
      <c r="BA52" s="197" t="n">
        <f aca="false">Algae_yield_cost_factor/I52</f>
        <v>0.136268570753191</v>
      </c>
      <c r="BB52" s="197" t="n">
        <f aca="false">Algae_yield_cost_factor/J52</f>
        <v>0.136268570753191</v>
      </c>
      <c r="BC52" s="197" t="n">
        <f aca="false">Algae_yield_cost_factor/K52</f>
        <v>0.136268570753191</v>
      </c>
      <c r="BD52" s="197" t="n">
        <f aca="false">Algae_yield_cost_factor/L52</f>
        <v>0.136268570753191</v>
      </c>
      <c r="BE52" s="197" t="n">
        <f aca="false">Algae_yield_cost_factor/M52</f>
        <v>0.130098534171009</v>
      </c>
      <c r="BF52" s="197" t="n">
        <f aca="false">Algae_yield_cost_factor/N52</f>
        <v>0.12666034732431</v>
      </c>
      <c r="BG52" s="197" t="n">
        <f aca="false">Algae_yield_cost_factor/O52</f>
        <v>0.121755016960631</v>
      </c>
      <c r="BH52" s="197" t="n">
        <f aca="false">Algae_yield_cost_factor/P52</f>
        <v>0.115244950324251</v>
      </c>
      <c r="BI52" s="197" t="n">
        <f aca="false">Algae_yield_cost_factor/Q52</f>
        <v>0.107387597613505</v>
      </c>
      <c r="BJ52" s="197" t="n">
        <f aca="false">Algae_yield_cost_factor/R52</f>
        <v>0.0989216317454206</v>
      </c>
      <c r="BK52" s="197" t="n">
        <f aca="false">Algae_yield_cost_factor/S52</f>
        <v>0.0908457138354603</v>
      </c>
      <c r="BL52" s="197" t="n">
        <f aca="false">Algae_yield_cost_factor/T52</f>
        <v>0.0839888976768669</v>
      </c>
      <c r="BM52" s="197" t="n">
        <f aca="false">Algae_yield_cost_factor/U52</f>
        <v>0.0787197917132511</v>
      </c>
      <c r="BN52" s="197" t="n">
        <f aca="false">Algae_yield_cost_factor/V52</f>
        <v>0.0749727576712914</v>
      </c>
      <c r="BO52" s="197" t="n">
        <f aca="false">Algae_yield_cost_factor/W52</f>
        <v>0.0724525640478441</v>
      </c>
      <c r="BP52" s="197" t="n">
        <f aca="false">Algae_yield_cost_factor/X52</f>
        <v>0.0708204402286184</v>
      </c>
      <c r="BQ52" s="197" t="n">
        <f aca="false">Algae_yield_cost_factor/Y52</f>
        <v>0.0697891920625571</v>
      </c>
      <c r="BR52" s="197" t="n">
        <f aca="false">Algae_yield_cost_factor/Z52</f>
        <v>0.0691477223736691</v>
      </c>
      <c r="BS52" s="197" t="n">
        <f aca="false">Algae_yield_cost_factor/AA52</f>
        <v>0.068752584587509</v>
      </c>
      <c r="BT52" s="197" t="n">
        <f aca="false">Algae_yield_cost_factor/AB52</f>
        <v>0.0685106466487526</v>
      </c>
      <c r="BU52" s="197" t="n">
        <f aca="false">Algae_yield_cost_factor/AC52</f>
        <v>0.0683630572520534</v>
      </c>
    </row>
    <row r="53" customFormat="false" ht="15" hidden="false" customHeight="false" outlineLevel="0" collapsed="false">
      <c r="A53" s="18" t="s">
        <v>698</v>
      </c>
      <c r="B53" s="18" t="s">
        <v>22</v>
      </c>
      <c r="C53" s="18" t="s">
        <v>685</v>
      </c>
      <c r="D53" s="18" t="s">
        <v>685</v>
      </c>
      <c r="E53" s="28" t="n">
        <v>5.84949</v>
      </c>
      <c r="F53" s="185" t="n">
        <f aca="false">E53/$B$2*$F$3/1000</f>
        <v>0.0143312505</v>
      </c>
      <c r="G53" s="18" t="n">
        <f aca="false">LOOKUP(RIGHT(D53,5),Ref!$C$4:$C$21,Ref!$E$4:$E$21)*$G$3</f>
        <v>4</v>
      </c>
      <c r="H53" s="218" t="n">
        <f aca="false">$E53</f>
        <v>5.84949</v>
      </c>
      <c r="I53" s="177" t="n">
        <f aca="false">$E53</f>
        <v>5.84949</v>
      </c>
      <c r="J53" s="177" t="n">
        <f aca="false">$E53</f>
        <v>5.84949</v>
      </c>
      <c r="K53" s="177" t="n">
        <f aca="false">$E53</f>
        <v>5.84949</v>
      </c>
      <c r="L53" s="177" t="n">
        <f aca="false">$E53</f>
        <v>5.84949</v>
      </c>
      <c r="M53" s="177" t="n">
        <f aca="false">M$3*$E53</f>
        <v>6.12690717089345</v>
      </c>
      <c r="N53" s="177" t="n">
        <f aca="false">N$3*$E53</f>
        <v>6.29322166545246</v>
      </c>
      <c r="O53" s="177" t="n">
        <f aca="false">O$3*$E53</f>
        <v>6.54676630033916</v>
      </c>
      <c r="P53" s="177" t="n">
        <f aca="false">P$3*$E53</f>
        <v>6.91658627725004</v>
      </c>
      <c r="Q53" s="177" t="n">
        <f aca="false">Q$3*$E53</f>
        <v>7.42266015488957</v>
      </c>
      <c r="R53" s="177" t="n">
        <f aca="false">R$3*$E53</f>
        <v>8.05791036672806</v>
      </c>
      <c r="S53" s="177" t="n">
        <f aca="false">S$3*$E53</f>
        <v>8.774235</v>
      </c>
      <c r="T53" s="177" t="n">
        <f aca="false">T$3*$E53</f>
        <v>9.49055963327194</v>
      </c>
      <c r="U53" s="177" t="n">
        <f aca="false">U$3*$E53</f>
        <v>10.1258098451104</v>
      </c>
      <c r="V53" s="177" t="n">
        <f aca="false">V$3*$E53</f>
        <v>10.63188372275</v>
      </c>
      <c r="W53" s="177" t="n">
        <f aca="false">W$3*$E53</f>
        <v>11.0017036996608</v>
      </c>
      <c r="X53" s="177" t="n">
        <f aca="false">X$3*$E53</f>
        <v>11.2552483345475</v>
      </c>
      <c r="Y53" s="177" t="n">
        <f aca="false">Y$3*$E53</f>
        <v>11.4215628291066</v>
      </c>
      <c r="Z53" s="177" t="n">
        <f aca="false">Z$3*$E53</f>
        <v>11.5275183993423</v>
      </c>
      <c r="AA53" s="177" t="n">
        <f aca="false">AA$3*$E53</f>
        <v>11.5937698446888</v>
      </c>
      <c r="AB53" s="177" t="n">
        <f aca="false">AB$3*$E53</f>
        <v>11.6347119889518</v>
      </c>
      <c r="AC53" s="177" t="n">
        <f aca="false">AC$3*$E53</f>
        <v>11.6598302354469</v>
      </c>
      <c r="AD53" s="219" t="n">
        <f aca="false">Algae_electricity_factor/H53</f>
        <v>0.00234953766969928</v>
      </c>
      <c r="AE53" s="220" t="n">
        <f aca="false">Algae_electricity_factor/I53</f>
        <v>0.00234953766969928</v>
      </c>
      <c r="AF53" s="220" t="n">
        <f aca="false">Algae_electricity_factor/J53</f>
        <v>0.00234953766969928</v>
      </c>
      <c r="AG53" s="220" t="n">
        <f aca="false">Algae_electricity_factor/K53</f>
        <v>0.00234953766969928</v>
      </c>
      <c r="AH53" s="220" t="n">
        <f aca="false">Algae_electricity_factor/L53</f>
        <v>0.00234953766969928</v>
      </c>
      <c r="AI53" s="220" t="n">
        <f aca="false">Algae_electricity_factor/M53</f>
        <v>0.00224315412657462</v>
      </c>
      <c r="AJ53" s="220" t="n">
        <f aca="false">Algae_electricity_factor/N53</f>
        <v>0.0021838730358056</v>
      </c>
      <c r="AK53" s="220" t="n">
        <f aca="false">Algae_electricity_factor/O53</f>
        <v>0.00209929551064275</v>
      </c>
      <c r="AL53" s="220" t="n">
        <f aca="false">Algae_electricity_factor/P53</f>
        <v>0.00198704918186802</v>
      </c>
      <c r="AM53" s="220" t="n">
        <f aca="false">Algae_electricity_factor/Q53</f>
        <v>0.0018515729963032</v>
      </c>
      <c r="AN53" s="220" t="n">
        <f aca="false">Algae_electricity_factor/R53</f>
        <v>0.00170560312513254</v>
      </c>
      <c r="AO53" s="220" t="n">
        <f aca="false">Algae_electricity_factor/S53</f>
        <v>0.00156635844646619</v>
      </c>
      <c r="AP53" s="220" t="n">
        <f aca="false">Algae_electricity_factor/T53</f>
        <v>0.00144813347522174</v>
      </c>
      <c r="AQ53" s="220" t="n">
        <f aca="false">Algae_electricity_factor/U53</f>
        <v>0.00135728374458521</v>
      </c>
      <c r="AR53" s="220" t="n">
        <f aca="false">Algae_electricity_factor/V53</f>
        <v>0.00129267752186952</v>
      </c>
      <c r="AS53" s="220" t="n">
        <f aca="false">Algae_electricity_factor/W53</f>
        <v>0.00124922443638915</v>
      </c>
      <c r="AT53" s="220" t="n">
        <f aca="false">Algae_electricity_factor/X53</f>
        <v>0.00122108341771046</v>
      </c>
      <c r="AU53" s="220" t="n">
        <f aca="false">Algae_electricity_factor/Y53</f>
        <v>0.00120330267487609</v>
      </c>
      <c r="AV53" s="220" t="n">
        <f aca="false">Algae_electricity_factor/Z53</f>
        <v>0.00119224247816542</v>
      </c>
      <c r="AW53" s="220" t="n">
        <f aca="false">Algae_electricity_factor/AA53</f>
        <v>0.00118542952703389</v>
      </c>
      <c r="AX53" s="220" t="n">
        <f aca="false">Algae_electricity_factor/AB53</f>
        <v>0.00118125804201944</v>
      </c>
      <c r="AY53" s="220" t="n">
        <f aca="false">Algae_electricity_factor/AC53</f>
        <v>0.00117871331108643</v>
      </c>
      <c r="AZ53" s="221" t="n">
        <f aca="false">Algae_yield_cost_factor/H53</f>
        <v>0.130069906827128</v>
      </c>
      <c r="BA53" s="197" t="n">
        <f aca="false">Algae_yield_cost_factor/I53</f>
        <v>0.130069906827128</v>
      </c>
      <c r="BB53" s="197" t="n">
        <f aca="false">Algae_yield_cost_factor/J53</f>
        <v>0.130069906827128</v>
      </c>
      <c r="BC53" s="197" t="n">
        <f aca="false">Algae_yield_cost_factor/K53</f>
        <v>0.130069906827128</v>
      </c>
      <c r="BD53" s="197" t="n">
        <f aca="false">Algae_yield_cost_factor/L53</f>
        <v>0.130069906827128</v>
      </c>
      <c r="BE53" s="197" t="n">
        <f aca="false">Algae_yield_cost_factor/M53</f>
        <v>0.124180536454132</v>
      </c>
      <c r="BF53" s="197" t="n">
        <f aca="false">Algae_yield_cost_factor/N53</f>
        <v>0.120898747848494</v>
      </c>
      <c r="BG53" s="197" t="n">
        <f aca="false">Algae_yield_cost_factor/O53</f>
        <v>0.116216554002669</v>
      </c>
      <c r="BH53" s="197" t="n">
        <f aca="false">Algae_yield_cost_factor/P53</f>
        <v>0.110002621060157</v>
      </c>
      <c r="BI53" s="197" t="n">
        <f aca="false">Algae_yield_cost_factor/Q53</f>
        <v>0.102502688175077</v>
      </c>
      <c r="BJ53" s="197" t="n">
        <f aca="false">Algae_yield_cost_factor/R53</f>
        <v>0.0944218270815986</v>
      </c>
      <c r="BK53" s="197" t="n">
        <f aca="false">Algae_yield_cost_factor/S53</f>
        <v>0.0867132712180854</v>
      </c>
      <c r="BL53" s="197" t="n">
        <f aca="false">Algae_yield_cost_factor/T53</f>
        <v>0.0801683618971068</v>
      </c>
      <c r="BM53" s="197" t="n">
        <f aca="false">Algae_yield_cost_factor/U53</f>
        <v>0.0751389400872085</v>
      </c>
      <c r="BN53" s="197" t="n">
        <f aca="false">Algae_yield_cost_factor/V53</f>
        <v>0.0715623533069852</v>
      </c>
      <c r="BO53" s="197" t="n">
        <f aca="false">Algae_yield_cost_factor/W53</f>
        <v>0.0691567997154543</v>
      </c>
      <c r="BP53" s="197" t="n">
        <f aca="false">Algae_yield_cost_factor/X53</f>
        <v>0.0675989188928726</v>
      </c>
      <c r="BQ53" s="197" t="n">
        <f aca="false">Algae_yield_cost_factor/Y53</f>
        <v>0.0666145807426018</v>
      </c>
      <c r="BR53" s="197" t="n">
        <f aca="false">Algae_yield_cost_factor/Z53</f>
        <v>0.0660022905996516</v>
      </c>
      <c r="BS53" s="197" t="n">
        <f aca="false">Algae_yield_cost_factor/AA53</f>
        <v>0.0656251270707054</v>
      </c>
      <c r="BT53" s="197" t="n">
        <f aca="false">Algae_yield_cost_factor/AB53</f>
        <v>0.0653941945454866</v>
      </c>
      <c r="BU53" s="197" t="n">
        <f aca="false">Algae_yield_cost_factor/AC53</f>
        <v>0.0652533187810222</v>
      </c>
    </row>
    <row r="54" customFormat="false" ht="15" hidden="false" customHeight="false" outlineLevel="0" collapsed="false">
      <c r="A54" s="18" t="s">
        <v>698</v>
      </c>
      <c r="B54" s="18" t="s">
        <v>22</v>
      </c>
      <c r="C54" s="18" t="s">
        <v>686</v>
      </c>
      <c r="D54" s="18" t="s">
        <v>686</v>
      </c>
      <c r="E54" s="28" t="n">
        <v>5.779775</v>
      </c>
      <c r="F54" s="185" t="n">
        <f aca="false">E54/$B$2*$F$3/1000</f>
        <v>0.01416044875</v>
      </c>
      <c r="G54" s="18" t="n">
        <f aca="false">LOOKUP(RIGHT(D54,5),Ref!$C$4:$C$21,Ref!$E$4:$E$21)*$G$3</f>
        <v>4.5</v>
      </c>
      <c r="H54" s="218" t="n">
        <f aca="false">$E54</f>
        <v>5.779775</v>
      </c>
      <c r="I54" s="177" t="n">
        <f aca="false">$E54</f>
        <v>5.779775</v>
      </c>
      <c r="J54" s="177" t="n">
        <f aca="false">$E54</f>
        <v>5.779775</v>
      </c>
      <c r="K54" s="177" t="n">
        <f aca="false">$E54</f>
        <v>5.779775</v>
      </c>
      <c r="L54" s="177" t="n">
        <f aca="false">$E54</f>
        <v>5.779775</v>
      </c>
      <c r="M54" s="177" t="n">
        <f aca="false">M$3*$E54</f>
        <v>6.05388587614487</v>
      </c>
      <c r="N54" s="177" t="n">
        <f aca="false">N$3*$E54</f>
        <v>6.21821821243228</v>
      </c>
      <c r="O54" s="177" t="n">
        <f aca="false">O$3*$E54</f>
        <v>6.46874106863038</v>
      </c>
      <c r="P54" s="177" t="n">
        <f aca="false">P$3*$E54</f>
        <v>6.83415348185788</v>
      </c>
      <c r="Q54" s="177" t="n">
        <f aca="false">Q$3*$E54</f>
        <v>7.33419590369876</v>
      </c>
      <c r="R54" s="177" t="n">
        <f aca="false">R$3*$E54</f>
        <v>7.9618751190028</v>
      </c>
      <c r="S54" s="177" t="n">
        <f aca="false">S$3*$E54</f>
        <v>8.6696625</v>
      </c>
      <c r="T54" s="177" t="n">
        <f aca="false">T$3*$E54</f>
        <v>9.3774498809972</v>
      </c>
      <c r="U54" s="177" t="n">
        <f aca="false">U$3*$E54</f>
        <v>10.0051290963012</v>
      </c>
      <c r="V54" s="177" t="n">
        <f aca="false">V$3*$E54</f>
        <v>10.5051715181421</v>
      </c>
      <c r="W54" s="177" t="n">
        <f aca="false">W$3*$E54</f>
        <v>10.8705839313696</v>
      </c>
      <c r="X54" s="177" t="n">
        <f aca="false">X$3*$E54</f>
        <v>11.1211067875677</v>
      </c>
      <c r="Y54" s="177" t="n">
        <f aca="false">Y$3*$E54</f>
        <v>11.2854391238551</v>
      </c>
      <c r="Z54" s="177" t="n">
        <f aca="false">Z$3*$E54</f>
        <v>11.3901319015091</v>
      </c>
      <c r="AA54" s="177" t="n">
        <f aca="false">AA$3*$E54</f>
        <v>11.4555937533164</v>
      </c>
      <c r="AB54" s="177" t="n">
        <f aca="false">AB$3*$E54</f>
        <v>11.4960479436573</v>
      </c>
      <c r="AC54" s="177" t="n">
        <f aca="false">AC$3*$E54</f>
        <v>11.5208668275491</v>
      </c>
      <c r="AD54" s="219" t="n">
        <f aca="false">Algae_electricity_factor/H54</f>
        <v>0.00237787753044526</v>
      </c>
      <c r="AE54" s="220" t="n">
        <f aca="false">Algae_electricity_factor/I54</f>
        <v>0.00237787753044526</v>
      </c>
      <c r="AF54" s="220" t="n">
        <f aca="false">Algae_electricity_factor/J54</f>
        <v>0.00237787753044526</v>
      </c>
      <c r="AG54" s="220" t="n">
        <f aca="false">Algae_electricity_factor/K54</f>
        <v>0.00237787753044526</v>
      </c>
      <c r="AH54" s="220" t="n">
        <f aca="false">Algae_electricity_factor/L54</f>
        <v>0.00237787753044526</v>
      </c>
      <c r="AI54" s="220" t="n">
        <f aca="false">Algae_electricity_factor/M54</f>
        <v>0.00227021080091474</v>
      </c>
      <c r="AJ54" s="220" t="n">
        <f aca="false">Algae_electricity_factor/N54</f>
        <v>0.00221021466825517</v>
      </c>
      <c r="AK54" s="220" t="n">
        <f aca="false">Algae_electricity_factor/O54</f>
        <v>0.00212461697843769</v>
      </c>
      <c r="AL54" s="220" t="n">
        <f aca="false">Algae_electricity_factor/P54</f>
        <v>0.00201101674699191</v>
      </c>
      <c r="AM54" s="220" t="n">
        <f aca="false">Algae_electricity_factor/Q54</f>
        <v>0.00187390646282002</v>
      </c>
      <c r="AN54" s="220" t="n">
        <f aca="false">Algae_electricity_factor/R54</f>
        <v>0.00172617591937948</v>
      </c>
      <c r="AO54" s="220" t="n">
        <f aca="false">Algae_electricity_factor/S54</f>
        <v>0.00158525168696351</v>
      </c>
      <c r="AP54" s="220" t="n">
        <f aca="false">Algae_electricity_factor/T54</f>
        <v>0.00146560069933083</v>
      </c>
      <c r="AQ54" s="220" t="n">
        <f aca="false">Algae_electricity_factor/U54</f>
        <v>0.00137365514939833</v>
      </c>
      <c r="AR54" s="220" t="n">
        <f aca="false">Algae_electricity_factor/V54</f>
        <v>0.00130826965364578</v>
      </c>
      <c r="AS54" s="220" t="n">
        <f aca="false">Algae_electricity_factor/W54</f>
        <v>0.00126429244190543</v>
      </c>
      <c r="AT54" s="220" t="n">
        <f aca="false">Algae_electricity_factor/X54</f>
        <v>0.00123581198940498</v>
      </c>
      <c r="AU54" s="220" t="n">
        <f aca="false">Algae_electricity_factor/Y54</f>
        <v>0.00121781677723803</v>
      </c>
      <c r="AV54" s="220" t="n">
        <f aca="false">Algae_electricity_factor/Z54</f>
        <v>0.00120662317367092</v>
      </c>
      <c r="AW54" s="220" t="n">
        <f aca="false">Algae_electricity_factor/AA54</f>
        <v>0.00119972804548438</v>
      </c>
      <c r="AX54" s="220" t="n">
        <f aca="false">Algae_electricity_factor/AB54</f>
        <v>0.00119550624448396</v>
      </c>
      <c r="AY54" s="220" t="n">
        <f aca="false">Algae_electricity_factor/AC54</f>
        <v>0.00119293081929088</v>
      </c>
      <c r="AZ54" s="221" t="n">
        <f aca="false">Algae_yield_cost_factor/H54</f>
        <v>0.131638795504361</v>
      </c>
      <c r="BA54" s="197" t="n">
        <f aca="false">Algae_yield_cost_factor/I54</f>
        <v>0.131638795504361</v>
      </c>
      <c r="BB54" s="197" t="n">
        <f aca="false">Algae_yield_cost_factor/J54</f>
        <v>0.131638795504361</v>
      </c>
      <c r="BC54" s="197" t="n">
        <f aca="false">Algae_yield_cost_factor/K54</f>
        <v>0.131638795504361</v>
      </c>
      <c r="BD54" s="197" t="n">
        <f aca="false">Algae_yield_cost_factor/L54</f>
        <v>0.131638795504361</v>
      </c>
      <c r="BE54" s="197" t="n">
        <f aca="false">Algae_yield_cost_factor/M54</f>
        <v>0.125678388204226</v>
      </c>
      <c r="BF54" s="197" t="n">
        <f aca="false">Algae_yield_cost_factor/N54</f>
        <v>0.122357015031258</v>
      </c>
      <c r="BG54" s="197" t="n">
        <f aca="false">Algae_yield_cost_factor/O54</f>
        <v>0.117618345086629</v>
      </c>
      <c r="BH54" s="197" t="n">
        <f aca="false">Algae_yield_cost_factor/P54</f>
        <v>0.111329460379544</v>
      </c>
      <c r="BI54" s="197" t="n">
        <f aca="false">Algae_yield_cost_factor/Q54</f>
        <v>0.10373906414233</v>
      </c>
      <c r="BJ54" s="197" t="n">
        <f aca="false">Algae_yield_cost_factor/R54</f>
        <v>0.0955607326056014</v>
      </c>
      <c r="BK54" s="197" t="n">
        <f aca="false">Algae_yield_cost_factor/S54</f>
        <v>0.0877591970029073</v>
      </c>
      <c r="BL54" s="197" t="n">
        <f aca="false">Algae_yield_cost_factor/T54</f>
        <v>0.081135343717274</v>
      </c>
      <c r="BM54" s="197" t="n">
        <f aca="false">Algae_yield_cost_factor/U54</f>
        <v>0.0760452575836819</v>
      </c>
      <c r="BN54" s="197" t="n">
        <f aca="false">Algae_yield_cost_factor/V54</f>
        <v>0.0724255304134983</v>
      </c>
      <c r="BO54" s="197" t="n">
        <f aca="false">Algae_yield_cost_factor/W54</f>
        <v>0.0699909613034336</v>
      </c>
      <c r="BP54" s="197" t="n">
        <f aca="false">Algae_yield_cost_factor/X54</f>
        <v>0.0684142894965062</v>
      </c>
      <c r="BQ54" s="197" t="n">
        <f aca="false">Algae_yield_cost_factor/Y54</f>
        <v>0.0674180783694939</v>
      </c>
      <c r="BR54" s="197" t="n">
        <f aca="false">Algae_yield_cost_factor/Z54</f>
        <v>0.0667984028512799</v>
      </c>
      <c r="BS54" s="197" t="n">
        <f aca="false">Algae_yield_cost_factor/AA54</f>
        <v>0.066416690018006</v>
      </c>
      <c r="BT54" s="197" t="n">
        <f aca="false">Algae_yield_cost_factor/AB54</f>
        <v>0.0661829720104811</v>
      </c>
      <c r="BU54" s="197" t="n">
        <f aca="false">Algae_yield_cost_factor/AC54</f>
        <v>0.0660403970182925</v>
      </c>
    </row>
    <row r="55" customFormat="false" ht="15" hidden="false" customHeight="false" outlineLevel="0" collapsed="false">
      <c r="A55" s="18" t="s">
        <v>698</v>
      </c>
      <c r="B55" s="18" t="s">
        <v>22</v>
      </c>
      <c r="C55" s="18" t="s">
        <v>687</v>
      </c>
      <c r="D55" s="18" t="s">
        <v>687</v>
      </c>
      <c r="E55" s="28" t="n">
        <v>5.690715</v>
      </c>
      <c r="F55" s="185" t="n">
        <f aca="false">E55/$B$2*$F$3/1000</f>
        <v>0.01394225175</v>
      </c>
      <c r="G55" s="18" t="n">
        <f aca="false">LOOKUP(RIGHT(D55,5),Ref!$C$4:$C$21,Ref!$E$4:$E$21)*$G$3</f>
        <v>4.5</v>
      </c>
      <c r="H55" s="218" t="n">
        <f aca="false">$E55</f>
        <v>5.690715</v>
      </c>
      <c r="I55" s="177" t="n">
        <f aca="false">$E55</f>
        <v>5.690715</v>
      </c>
      <c r="J55" s="177" t="n">
        <f aca="false">$E55</f>
        <v>5.690715</v>
      </c>
      <c r="K55" s="177" t="n">
        <f aca="false">$E55</f>
        <v>5.690715</v>
      </c>
      <c r="L55" s="177" t="n">
        <f aca="false">$E55</f>
        <v>5.690715</v>
      </c>
      <c r="M55" s="177" t="n">
        <f aca="false">M$3*$E55</f>
        <v>5.96060212787968</v>
      </c>
      <c r="N55" s="177" t="n">
        <f aca="false">N$3*$E55</f>
        <v>6.12240228291959</v>
      </c>
      <c r="O55" s="177" t="n">
        <f aca="false">O$3*$E55</f>
        <v>6.3690648563951</v>
      </c>
      <c r="P55" s="177" t="n">
        <f aca="false">P$3*$E55</f>
        <v>6.72884666470769</v>
      </c>
      <c r="Q55" s="177" t="n">
        <f aca="false">Q$3*$E55</f>
        <v>7.22118398071155</v>
      </c>
      <c r="R55" s="177" t="n">
        <f aca="false">R$3*$E55</f>
        <v>7.83919134703964</v>
      </c>
      <c r="S55" s="177" t="n">
        <f aca="false">S$3*$E55</f>
        <v>8.5360725</v>
      </c>
      <c r="T55" s="177" t="n">
        <f aca="false">T$3*$E55</f>
        <v>9.23295365296036</v>
      </c>
      <c r="U55" s="177" t="n">
        <f aca="false">U$3*$E55</f>
        <v>9.85096101928845</v>
      </c>
      <c r="V55" s="177" t="n">
        <f aca="false">V$3*$E55</f>
        <v>10.3432983352923</v>
      </c>
      <c r="W55" s="177" t="n">
        <f aca="false">W$3*$E55</f>
        <v>10.7030801436049</v>
      </c>
      <c r="X55" s="177" t="n">
        <f aca="false">X$3*$E55</f>
        <v>10.9497427170804</v>
      </c>
      <c r="Y55" s="177" t="n">
        <f aca="false">Y$3*$E55</f>
        <v>11.1115428721203</v>
      </c>
      <c r="Z55" s="177" t="n">
        <f aca="false">Z$3*$E55</f>
        <v>11.2146224487798</v>
      </c>
      <c r="AA55" s="177" t="n">
        <f aca="false">AA$3*$E55</f>
        <v>11.2790756051756</v>
      </c>
      <c r="AB55" s="177" t="n">
        <f aca="false">AB$3*$E55</f>
        <v>11.3189064407679</v>
      </c>
      <c r="AC55" s="177" t="n">
        <f aca="false">AC$3*$E55</f>
        <v>11.3433428928524</v>
      </c>
      <c r="AD55" s="219" t="n">
        <f aca="false">Algae_electricity_factor/H55</f>
        <v>0.00241509144343536</v>
      </c>
      <c r="AE55" s="220" t="n">
        <f aca="false">Algae_electricity_factor/I55</f>
        <v>0.00241509144343536</v>
      </c>
      <c r="AF55" s="220" t="n">
        <f aca="false">Algae_electricity_factor/J55</f>
        <v>0.00241509144343536</v>
      </c>
      <c r="AG55" s="220" t="n">
        <f aca="false">Algae_electricity_factor/K55</f>
        <v>0.00241509144343536</v>
      </c>
      <c r="AH55" s="220" t="n">
        <f aca="false">Algae_electricity_factor/L55</f>
        <v>0.00241509144343536</v>
      </c>
      <c r="AI55" s="220" t="n">
        <f aca="false">Algae_electricity_factor/M55</f>
        <v>0.00230573972371784</v>
      </c>
      <c r="AJ55" s="220" t="n">
        <f aca="false">Algae_electricity_factor/N55</f>
        <v>0.00224480464831124</v>
      </c>
      <c r="AK55" s="220" t="n">
        <f aca="false">Algae_electricity_factor/O55</f>
        <v>0.00215786734998145</v>
      </c>
      <c r="AL55" s="220" t="n">
        <f aca="false">Algae_electricity_factor/P55</f>
        <v>0.00204248926872021</v>
      </c>
      <c r="AM55" s="220" t="n">
        <f aca="false">Algae_electricity_factor/Q55</f>
        <v>0.00190323320112598</v>
      </c>
      <c r="AN55" s="220" t="n">
        <f aca="false">Algae_electricity_factor/R55</f>
        <v>0.00175319066662652</v>
      </c>
      <c r="AO55" s="220" t="n">
        <f aca="false">Algae_electricity_factor/S55</f>
        <v>0.00161006096229024</v>
      </c>
      <c r="AP55" s="220" t="n">
        <f aca="false">Algae_electricity_factor/T55</f>
        <v>0.0014885374301779</v>
      </c>
      <c r="AQ55" s="220" t="n">
        <f aca="false">Algae_electricity_factor/U55</f>
        <v>0.00139515292737621</v>
      </c>
      <c r="AR55" s="220" t="n">
        <f aca="false">Algae_electricity_factor/V55</f>
        <v>0.00132874414505041</v>
      </c>
      <c r="AS55" s="220" t="n">
        <f aca="false">Algae_electricity_factor/W55</f>
        <v>0.00128407868754875</v>
      </c>
      <c r="AT55" s="220" t="n">
        <f aca="false">Algae_electricity_factor/X55</f>
        <v>0.00125515251441395</v>
      </c>
      <c r="AU55" s="220" t="n">
        <f aca="false">Algae_electricity_factor/Y55</f>
        <v>0.00123687567619551</v>
      </c>
      <c r="AV55" s="220" t="n">
        <f aca="false">Algae_electricity_factor/Z55</f>
        <v>0.00122550689212231</v>
      </c>
      <c r="AW55" s="220" t="n">
        <f aca="false">Algae_electricity_factor/AA55</f>
        <v>0.00121850385480374</v>
      </c>
      <c r="AX55" s="220" t="n">
        <f aca="false">Algae_electricity_factor/AB55</f>
        <v>0.0012142159823875</v>
      </c>
      <c r="AY55" s="220" t="n">
        <f aca="false">Algae_electricity_factor/AC55</f>
        <v>0.00121160025164974</v>
      </c>
      <c r="AZ55" s="221" t="n">
        <f aca="false">Algae_yield_cost_factor/H55</f>
        <v>0.133698949830771</v>
      </c>
      <c r="BA55" s="197" t="n">
        <f aca="false">Algae_yield_cost_factor/I55</f>
        <v>0.133698949830771</v>
      </c>
      <c r="BB55" s="197" t="n">
        <f aca="false">Algae_yield_cost_factor/J55</f>
        <v>0.133698949830771</v>
      </c>
      <c r="BC55" s="197" t="n">
        <f aca="false">Algae_yield_cost_factor/K55</f>
        <v>0.133698949830771</v>
      </c>
      <c r="BD55" s="197" t="n">
        <f aca="false">Algae_yield_cost_factor/L55</f>
        <v>0.133698949830771</v>
      </c>
      <c r="BE55" s="197" t="n">
        <f aca="false">Algae_yield_cost_factor/M55</f>
        <v>0.127645261831436</v>
      </c>
      <c r="BF55" s="197" t="n">
        <f aca="false">Algae_yield_cost_factor/N55</f>
        <v>0.124271908987234</v>
      </c>
      <c r="BG55" s="197" t="n">
        <f aca="false">Algae_yield_cost_factor/O55</f>
        <v>0.119459078599626</v>
      </c>
      <c r="BH55" s="197" t="n">
        <f aca="false">Algae_yield_cost_factor/P55</f>
        <v>0.113071772504014</v>
      </c>
      <c r="BI55" s="197" t="n">
        <f aca="false">Algae_yield_cost_factor/Q55</f>
        <v>0.105362586151869</v>
      </c>
      <c r="BJ55" s="197" t="n">
        <f aca="false">Algae_yield_cost_factor/R55</f>
        <v>0.0970562632807196</v>
      </c>
      <c r="BK55" s="197" t="n">
        <f aca="false">Algae_yield_cost_factor/S55</f>
        <v>0.0891326332205142</v>
      </c>
      <c r="BL55" s="197" t="n">
        <f aca="false">Algae_yield_cost_factor/T55</f>
        <v>0.0824051162698373</v>
      </c>
      <c r="BM55" s="197" t="n">
        <f aca="false">Algae_yield_cost_factor/U55</f>
        <v>0.07723537001075</v>
      </c>
      <c r="BN55" s="197" t="n">
        <f aca="false">Algae_yield_cost_factor/V55</f>
        <v>0.0735589939130104</v>
      </c>
      <c r="BO55" s="197" t="n">
        <f aca="false">Algae_yield_cost_factor/W55</f>
        <v>0.0710863236636438</v>
      </c>
      <c r="BP55" s="197" t="n">
        <f aca="false">Algae_yield_cost_factor/X55</f>
        <v>0.06948497685698</v>
      </c>
      <c r="BQ55" s="197" t="n">
        <f aca="false">Algae_yield_cost_factor/Y55</f>
        <v>0.0684731749715179</v>
      </c>
      <c r="BR55" s="197" t="n">
        <f aca="false">Algae_yield_cost_factor/Z55</f>
        <v>0.06784380149766</v>
      </c>
      <c r="BS55" s="197" t="n">
        <f aca="false">Algae_yield_cost_factor/AA55</f>
        <v>0.0674561148377349</v>
      </c>
      <c r="BT55" s="197" t="n">
        <f aca="false">Algae_yield_cost_factor/AB55</f>
        <v>0.0672187391306503</v>
      </c>
      <c r="BU55" s="197" t="n">
        <f aca="false">Algae_yield_cost_factor/AC55</f>
        <v>0.0670739328320609</v>
      </c>
    </row>
    <row r="56" customFormat="false" ht="15" hidden="false" customHeight="false" outlineLevel="0" collapsed="false">
      <c r="A56" s="18" t="s">
        <v>698</v>
      </c>
      <c r="B56" s="18" t="s">
        <v>22</v>
      </c>
      <c r="C56" s="18" t="s">
        <v>688</v>
      </c>
      <c r="D56" s="18" t="s">
        <v>688</v>
      </c>
      <c r="E56" s="28" t="n">
        <v>5.574864</v>
      </c>
      <c r="F56" s="185" t="n">
        <f aca="false">E56/$B$2*$F$3/1000</f>
        <v>0.0136584168</v>
      </c>
      <c r="G56" s="18" t="n">
        <f aca="false">LOOKUP(RIGHT(D56,5),Ref!$C$4:$C$21,Ref!$E$4:$E$21)*$G$3</f>
        <v>4.5</v>
      </c>
      <c r="H56" s="218" t="n">
        <f aca="false">$E56</f>
        <v>5.574864</v>
      </c>
      <c r="I56" s="177" t="n">
        <f aca="false">$E56</f>
        <v>5.574864</v>
      </c>
      <c r="J56" s="177" t="n">
        <f aca="false">$E56</f>
        <v>5.574864</v>
      </c>
      <c r="K56" s="177" t="n">
        <f aca="false">$E56</f>
        <v>5.574864</v>
      </c>
      <c r="L56" s="177" t="n">
        <f aca="false">$E56</f>
        <v>5.574864</v>
      </c>
      <c r="M56" s="177" t="n">
        <f aca="false">M$3*$E56</f>
        <v>5.83925679304618</v>
      </c>
      <c r="N56" s="177" t="n">
        <f aca="false">N$3*$E56</f>
        <v>5.99776303690595</v>
      </c>
      <c r="O56" s="177" t="n">
        <f aca="false">O$3*$E56</f>
        <v>6.23940407867591</v>
      </c>
      <c r="P56" s="177" t="n">
        <f aca="false">P$3*$E56</f>
        <v>6.5918614853492</v>
      </c>
      <c r="Q56" s="177" t="n">
        <f aca="false">Q$3*$E56</f>
        <v>7.07417584810442</v>
      </c>
      <c r="R56" s="177" t="n">
        <f aca="false">R$3*$E56</f>
        <v>7.6796018830187</v>
      </c>
      <c r="S56" s="177" t="n">
        <f aca="false">S$3*$E56</f>
        <v>8.362296</v>
      </c>
      <c r="T56" s="177" t="n">
        <f aca="false">T$3*$E56</f>
        <v>9.04499011698129</v>
      </c>
      <c r="U56" s="177" t="n">
        <f aca="false">U$3*$E56</f>
        <v>9.65041615189558</v>
      </c>
      <c r="V56" s="177" t="n">
        <f aca="false">V$3*$E56</f>
        <v>10.1327305146508</v>
      </c>
      <c r="W56" s="177" t="n">
        <f aca="false">W$3*$E56</f>
        <v>10.4851879213241</v>
      </c>
      <c r="X56" s="177" t="n">
        <f aca="false">X$3*$E56</f>
        <v>10.7268289630941</v>
      </c>
      <c r="Y56" s="177" t="n">
        <f aca="false">Y$3*$E56</f>
        <v>10.8853352069538</v>
      </c>
      <c r="Z56" s="177" t="n">
        <f aca="false">Z$3*$E56</f>
        <v>10.9863163000246</v>
      </c>
      <c r="AA56" s="177" t="n">
        <f aca="false">AA$3*$E56</f>
        <v>11.0494573255859</v>
      </c>
      <c r="AB56" s="177" t="n">
        <f aca="false">AB$3*$E56</f>
        <v>11.0884772890586</v>
      </c>
      <c r="AC56" s="177" t="n">
        <f aca="false">AC$3*$E56</f>
        <v>11.1124162663248</v>
      </c>
      <c r="AD56" s="219" t="n">
        <f aca="false">Algae_electricity_factor/H56</f>
        <v>0.00246527935094547</v>
      </c>
      <c r="AE56" s="220" t="n">
        <f aca="false">Algae_electricity_factor/I56</f>
        <v>0.00246527935094547</v>
      </c>
      <c r="AF56" s="220" t="n">
        <f aca="false">Algae_electricity_factor/J56</f>
        <v>0.00246527935094547</v>
      </c>
      <c r="AG56" s="220" t="n">
        <f aca="false">Algae_electricity_factor/K56</f>
        <v>0.00246527935094547</v>
      </c>
      <c r="AH56" s="220" t="n">
        <f aca="false">Algae_electricity_factor/L56</f>
        <v>0.00246527935094547</v>
      </c>
      <c r="AI56" s="220" t="n">
        <f aca="false">Algae_electricity_factor/M56</f>
        <v>0.00235365519802043</v>
      </c>
      <c r="AJ56" s="220" t="n">
        <f aca="false">Algae_electricity_factor/N56</f>
        <v>0.0022914538335311</v>
      </c>
      <c r="AK56" s="220" t="n">
        <f aca="false">Algae_electricity_factor/O56</f>
        <v>0.00220270989508438</v>
      </c>
      <c r="AL56" s="220" t="n">
        <f aca="false">Algae_electricity_factor/P56</f>
        <v>0.00208493414706532</v>
      </c>
      <c r="AM56" s="220" t="n">
        <f aca="false">Algae_electricity_factor/Q56</f>
        <v>0.00194278420534485</v>
      </c>
      <c r="AN56" s="220" t="n">
        <f aca="false">Algae_electricity_factor/R56</f>
        <v>0.00178962364363176</v>
      </c>
      <c r="AO56" s="220" t="n">
        <f aca="false">Algae_electricity_factor/S56</f>
        <v>0.00164351956729698</v>
      </c>
      <c r="AP56" s="220" t="n">
        <f aca="false">Algae_electricity_factor/T56</f>
        <v>0.00151947066008692</v>
      </c>
      <c r="AQ56" s="220" t="n">
        <f aca="false">Algae_electricity_factor/U56</f>
        <v>0.0014241455380999</v>
      </c>
      <c r="AR56" s="220" t="n">
        <f aca="false">Algae_electricity_factor/V56</f>
        <v>0.00135635671783213</v>
      </c>
      <c r="AS56" s="220" t="n">
        <f aca="false">Algae_electricity_factor/W56</f>
        <v>0.00131076306945138</v>
      </c>
      <c r="AT56" s="220" t="n">
        <f aca="false">Algae_electricity_factor/X56</f>
        <v>0.00128123578280352</v>
      </c>
      <c r="AU56" s="220" t="n">
        <f aca="false">Algae_electricity_factor/Y56</f>
        <v>0.00126257913442569</v>
      </c>
      <c r="AV56" s="220" t="n">
        <f aca="false">Algae_electricity_factor/Z56</f>
        <v>0.00125097409615801</v>
      </c>
      <c r="AW56" s="220" t="n">
        <f aca="false">Algae_electricity_factor/AA56</f>
        <v>0.00124382552903344</v>
      </c>
      <c r="AX56" s="220" t="n">
        <f aca="false">Algae_electricity_factor/AB56</f>
        <v>0.00123944855053187</v>
      </c>
      <c r="AY56" s="220" t="n">
        <f aca="false">Algae_electricity_factor/AC56</f>
        <v>0.00123677846241037</v>
      </c>
      <c r="AZ56" s="221" t="n">
        <f aca="false">Algae_yield_cost_factor/H56</f>
        <v>0.136477341740752</v>
      </c>
      <c r="BA56" s="197" t="n">
        <f aca="false">Algae_yield_cost_factor/I56</f>
        <v>0.136477341740752</v>
      </c>
      <c r="BB56" s="197" t="n">
        <f aca="false">Algae_yield_cost_factor/J56</f>
        <v>0.136477341740752</v>
      </c>
      <c r="BC56" s="197" t="n">
        <f aca="false">Algae_yield_cost_factor/K56</f>
        <v>0.136477341740752</v>
      </c>
      <c r="BD56" s="197" t="n">
        <f aca="false">Algae_yield_cost_factor/L56</f>
        <v>0.136477341740752</v>
      </c>
      <c r="BE56" s="197" t="n">
        <f aca="false">Algae_yield_cost_factor/M56</f>
        <v>0.130297852321255</v>
      </c>
      <c r="BF56" s="197" t="n">
        <f aca="false">Algae_yield_cost_factor/N56</f>
        <v>0.126854397982137</v>
      </c>
      <c r="BG56" s="197" t="n">
        <f aca="false">Algae_yield_cost_factor/O56</f>
        <v>0.121941552381022</v>
      </c>
      <c r="BH56" s="197" t="n">
        <f aca="false">Algae_yield_cost_factor/P56</f>
        <v>0.115421511962476</v>
      </c>
      <c r="BI56" s="197" t="n">
        <f aca="false">Algae_yield_cost_factor/Q56</f>
        <v>0.107552121352778</v>
      </c>
      <c r="BJ56" s="197" t="n">
        <f aca="false">Algae_yield_cost_factor/R56</f>
        <v>0.0990731851567213</v>
      </c>
      <c r="BK56" s="197" t="n">
        <f aca="false">Algae_yield_cost_factor/S56</f>
        <v>0.0909848944938349</v>
      </c>
      <c r="BL56" s="197" t="n">
        <f aca="false">Algae_yield_cost_factor/T56</f>
        <v>0.0841175733136283</v>
      </c>
      <c r="BM56" s="197" t="n">
        <f aca="false">Algae_yield_cost_factor/U56</f>
        <v>0.0788403947882361</v>
      </c>
      <c r="BN56" s="197" t="n">
        <f aca="false">Algae_yield_cost_factor/V56</f>
        <v>0.0750876200828714</v>
      </c>
      <c r="BO56" s="197" t="n">
        <f aca="false">Algae_yield_cost_factor/W56</f>
        <v>0.0725635653833982</v>
      </c>
      <c r="BP56" s="197" t="n">
        <f aca="false">Algae_yield_cost_factor/X56</f>
        <v>0.0709289410602069</v>
      </c>
      <c r="BQ56" s="197" t="n">
        <f aca="false">Algae_yield_cost_factor/Y56</f>
        <v>0.0698961129649157</v>
      </c>
      <c r="BR56" s="197" t="n">
        <f aca="false">Algae_yield_cost_factor/Z56</f>
        <v>0.0692536605089839</v>
      </c>
      <c r="BS56" s="197" t="n">
        <f aca="false">Algae_yield_cost_factor/AA56</f>
        <v>0.0688579173498798</v>
      </c>
      <c r="BT56" s="197" t="n">
        <f aca="false">Algae_yield_cost_factor/AB56</f>
        <v>0.0686156087488194</v>
      </c>
      <c r="BU56" s="197" t="n">
        <f aca="false">Algae_yield_cost_factor/AC56</f>
        <v>0.0684677932370012</v>
      </c>
    </row>
    <row r="57" customFormat="false" ht="13.8" hidden="false" customHeight="false" outlineLevel="0" collapsed="false">
      <c r="A57" s="18" t="s">
        <v>699</v>
      </c>
      <c r="B57" s="18" t="s">
        <v>22</v>
      </c>
      <c r="C57" s="18" t="s">
        <v>690</v>
      </c>
      <c r="D57" s="18" t="s">
        <v>690</v>
      </c>
      <c r="E57" s="28" t="n">
        <v>6.74739</v>
      </c>
      <c r="F57" s="185" t="n">
        <f aca="false">E57/$B$2*$F$3/1000</f>
        <v>0.0165311055</v>
      </c>
      <c r="G57" s="18" t="n">
        <f aca="false">LOOKUP(RIGHT(D57,5),Ref!$C$4:$C$21,Ref!$E$4:$E$21)*$G$3</f>
        <v>1.5</v>
      </c>
      <c r="H57" s="218" t="n">
        <f aca="false">$E57</f>
        <v>6.74739</v>
      </c>
      <c r="I57" s="177" t="n">
        <f aca="false">$E57</f>
        <v>6.74739</v>
      </c>
      <c r="J57" s="177" t="n">
        <f aca="false">$E57</f>
        <v>6.74739</v>
      </c>
      <c r="K57" s="177" t="n">
        <f aca="false">$E57</f>
        <v>6.74739</v>
      </c>
      <c r="L57" s="177" t="n">
        <f aca="false">$E57</f>
        <v>6.74739</v>
      </c>
      <c r="M57" s="177" t="n">
        <f aca="false">M$3*$E57</f>
        <v>7.06739086241958</v>
      </c>
      <c r="N57" s="177" t="n">
        <f aca="false">N$3*$E57</f>
        <v>7.25923472529354</v>
      </c>
      <c r="O57" s="177" t="n">
        <f aca="false">O$3*$E57</f>
        <v>7.55169860402282</v>
      </c>
      <c r="P57" s="177" t="n">
        <f aca="false">P$3*$E57</f>
        <v>7.97828615507577</v>
      </c>
      <c r="Q57" s="177" t="n">
        <f aca="false">Q$3*$E57</f>
        <v>8.56204265713769</v>
      </c>
      <c r="R57" s="177" t="n">
        <f aca="false">R$3*$E57</f>
        <v>9.29480413324192</v>
      </c>
      <c r="S57" s="177" t="n">
        <f aca="false">S$3*$E57</f>
        <v>10.121085</v>
      </c>
      <c r="T57" s="177" t="n">
        <f aca="false">T$3*$E57</f>
        <v>10.9473658667581</v>
      </c>
      <c r="U57" s="177" t="n">
        <f aca="false">U$3*$E57</f>
        <v>11.6801273428623</v>
      </c>
      <c r="V57" s="177" t="n">
        <f aca="false">V$3*$E57</f>
        <v>12.2638838449242</v>
      </c>
      <c r="W57" s="177" t="n">
        <f aca="false">W$3*$E57</f>
        <v>12.6904713959772</v>
      </c>
      <c r="X57" s="177" t="n">
        <f aca="false">X$3*$E57</f>
        <v>12.9829352747065</v>
      </c>
      <c r="Y57" s="177" t="n">
        <f aca="false">Y$3*$E57</f>
        <v>13.1747791375804</v>
      </c>
      <c r="Z57" s="177" t="n">
        <f aca="false">Z$3*$E57</f>
        <v>13.2969989473506</v>
      </c>
      <c r="AA57" s="177" t="n">
        <f aca="false">AA$3*$E57</f>
        <v>13.3734200267639</v>
      </c>
      <c r="AB57" s="177" t="n">
        <f aca="false">AB$3*$E57</f>
        <v>13.4206468131638</v>
      </c>
      <c r="AC57" s="177" t="n">
        <f aca="false">AC$3*$E57</f>
        <v>13.449620724602</v>
      </c>
      <c r="AD57" s="219" t="n">
        <f aca="false">Algae_electricity_factor/H57</f>
        <v>0.0020368760518555</v>
      </c>
      <c r="AE57" s="220" t="n">
        <f aca="false">Algae_electricity_factor/I57</f>
        <v>0.0020368760518555</v>
      </c>
      <c r="AF57" s="220" t="n">
        <f aca="false">Algae_electricity_factor/J57</f>
        <v>0.0020368760518555</v>
      </c>
      <c r="AG57" s="220" t="n">
        <f aca="false">Algae_electricity_factor/K57</f>
        <v>0.0020368760518555</v>
      </c>
      <c r="AH57" s="220" t="n">
        <f aca="false">Algae_electricity_factor/L57</f>
        <v>0.0020368760518555</v>
      </c>
      <c r="AI57" s="220" t="n">
        <f aca="false">Algae_electricity_factor/M57</f>
        <v>0.00194464935802688</v>
      </c>
      <c r="AJ57" s="220" t="n">
        <f aca="false">Algae_electricity_factor/N57</f>
        <v>0.00189325702000544</v>
      </c>
      <c r="AK57" s="220" t="n">
        <f aca="false">Algae_electricity_factor/O57</f>
        <v>0.0018199345371395</v>
      </c>
      <c r="AL57" s="220" t="n">
        <f aca="false">Algae_electricity_factor/P57</f>
        <v>0.00172262524010694</v>
      </c>
      <c r="AM57" s="220" t="n">
        <f aca="false">Algae_electricity_factor/Q57</f>
        <v>0.0016051773687523</v>
      </c>
      <c r="AN57" s="220" t="n">
        <f aca="false">Algae_electricity_factor/R57</f>
        <v>0.00147863224512464</v>
      </c>
      <c r="AO57" s="220" t="n">
        <f aca="false">Algae_electricity_factor/S57</f>
        <v>0.00135791736790366</v>
      </c>
      <c r="AP57" s="220" t="n">
        <f aca="false">Algae_electricity_factor/T57</f>
        <v>0.00125542502834056</v>
      </c>
      <c r="AQ57" s="220" t="n">
        <f aca="false">Algae_electricity_factor/U57</f>
        <v>0.00117666500544859</v>
      </c>
      <c r="AR57" s="220" t="n">
        <f aca="false">Algae_electricity_factor/V57</f>
        <v>0.00112065617037114</v>
      </c>
      <c r="AS57" s="220" t="n">
        <f aca="false">Algae_electricity_factor/W57</f>
        <v>0.00108298554676904</v>
      </c>
      <c r="AT57" s="220" t="n">
        <f aca="false">Algae_electricity_factor/X57</f>
        <v>0.00105858935693107</v>
      </c>
      <c r="AU57" s="220" t="n">
        <f aca="false">Algae_electricity_factor/Y57</f>
        <v>0.00104317476293218</v>
      </c>
      <c r="AV57" s="220" t="n">
        <f aca="false">Algae_electricity_factor/Z57</f>
        <v>0.00103358638727031</v>
      </c>
      <c r="AW57" s="220" t="n">
        <f aca="false">Algae_electricity_factor/AA57</f>
        <v>0.00102768006059965</v>
      </c>
      <c r="AX57" s="220" t="n">
        <f aca="false">Algae_electricity_factor/AB57</f>
        <v>0.0010240636904362</v>
      </c>
      <c r="AY57" s="220" t="n">
        <f aca="false">Algae_electricity_factor/AC57</f>
        <v>0.00102185759620638</v>
      </c>
      <c r="AZ57" s="221" t="n">
        <f aca="false">Algae_yield_cost_factor/H57</f>
        <v>0.112761026009497</v>
      </c>
      <c r="BA57" s="197" t="n">
        <f aca="false">Algae_yield_cost_factor/I57</f>
        <v>0.112761026009497</v>
      </c>
      <c r="BB57" s="197" t="n">
        <f aca="false">Algae_yield_cost_factor/J57</f>
        <v>0.112761026009497</v>
      </c>
      <c r="BC57" s="197" t="n">
        <f aca="false">Algae_yield_cost_factor/K57</f>
        <v>0.112761026009497</v>
      </c>
      <c r="BD57" s="197" t="n">
        <f aca="false">Algae_yield_cost_factor/L57</f>
        <v>0.112761026009497</v>
      </c>
      <c r="BE57" s="197" t="n">
        <f aca="false">Algae_yield_cost_factor/M57</f>
        <v>0.107655375809473</v>
      </c>
      <c r="BF57" s="197" t="n">
        <f aca="false">Algae_yield_cost_factor/N57</f>
        <v>0.104810306881963</v>
      </c>
      <c r="BG57" s="197" t="n">
        <f aca="false">Algae_yield_cost_factor/O57</f>
        <v>0.100751189789396</v>
      </c>
      <c r="BH57" s="197" t="n">
        <f aca="false">Algae_yield_cost_factor/P57</f>
        <v>0.095364167754521</v>
      </c>
      <c r="BI57" s="197" t="n">
        <f aca="false">Algae_yield_cost_factor/Q57</f>
        <v>0.0888622785185433</v>
      </c>
      <c r="BJ57" s="197" t="n">
        <f aca="false">Algae_yield_cost_factor/R57</f>
        <v>0.0818567673271502</v>
      </c>
      <c r="BK57" s="197" t="n">
        <f aca="false">Algae_yield_cost_factor/S57</f>
        <v>0.0751740173396644</v>
      </c>
      <c r="BL57" s="197" t="n">
        <f aca="false">Algae_yield_cost_factor/T57</f>
        <v>0.0695000631701306</v>
      </c>
      <c r="BM57" s="197" t="n">
        <f aca="false">Algae_yield_cost_factor/U57</f>
        <v>0.0651399250155579</v>
      </c>
      <c r="BN57" s="197" t="n">
        <f aca="false">Algae_yield_cost_factor/V57</f>
        <v>0.0620392877906386</v>
      </c>
      <c r="BO57" s="197" t="n">
        <f aca="false">Algae_yield_cost_factor/W57</f>
        <v>0.0599538500616613</v>
      </c>
      <c r="BP57" s="197" t="n">
        <f aca="false">Algae_yield_cost_factor/X57</f>
        <v>0.0586032821690563</v>
      </c>
      <c r="BQ57" s="197" t="n">
        <f aca="false">Algae_yield_cost_factor/Y57</f>
        <v>0.057749933516225</v>
      </c>
      <c r="BR57" s="197" t="n">
        <f aca="false">Algae_yield_cost_factor/Z57</f>
        <v>0.0572191230742192</v>
      </c>
      <c r="BS57" s="197" t="n">
        <f aca="false">Algae_yield_cost_factor/AA57</f>
        <v>0.0568921500830426</v>
      </c>
      <c r="BT57" s="197" t="n">
        <f aca="false">Algae_yield_cost_factor/AB57</f>
        <v>0.0566919485981807</v>
      </c>
      <c r="BU57" s="197" t="n">
        <f aca="false">Algae_yield_cost_factor/AC57</f>
        <v>0.0565698196897469</v>
      </c>
    </row>
    <row r="58" customFormat="false" ht="13.8" hidden="false" customHeight="false" outlineLevel="0" collapsed="false">
      <c r="A58" s="18" t="s">
        <v>699</v>
      </c>
      <c r="B58" s="18" t="s">
        <v>22</v>
      </c>
      <c r="C58" s="18" t="s">
        <v>691</v>
      </c>
      <c r="D58" s="18" t="s">
        <v>691</v>
      </c>
      <c r="E58" s="28" t="n">
        <v>5.48376</v>
      </c>
      <c r="F58" s="185" t="n">
        <f aca="false">E58/$B$2*$F$3/1000</f>
        <v>0.013435212</v>
      </c>
      <c r="G58" s="18" t="n">
        <f aca="false">LOOKUP(RIGHT(D58,5),Ref!$C$4:$C$21,Ref!$E$4:$E$21)*$G$3</f>
        <v>2</v>
      </c>
      <c r="H58" s="218" t="n">
        <f aca="false">$E58</f>
        <v>5.48376</v>
      </c>
      <c r="I58" s="177" t="n">
        <f aca="false">$E58</f>
        <v>5.48376</v>
      </c>
      <c r="J58" s="177" t="n">
        <f aca="false">$E58</f>
        <v>5.48376</v>
      </c>
      <c r="K58" s="177" t="n">
        <f aca="false">$E58</f>
        <v>5.48376</v>
      </c>
      <c r="L58" s="177" t="n">
        <f aca="false">$E58</f>
        <v>5.48376</v>
      </c>
      <c r="M58" s="177" t="n">
        <f aca="false">M$3*$E58</f>
        <v>5.74383210629621</v>
      </c>
      <c r="N58" s="177" t="n">
        <f aca="false">N$3*$E58</f>
        <v>5.89974805327329</v>
      </c>
      <c r="O58" s="177" t="n">
        <f aca="false">O$3*$E58</f>
        <v>6.13744021566801</v>
      </c>
      <c r="P58" s="177" t="n">
        <f aca="false">P$3*$E58</f>
        <v>6.48413779042834</v>
      </c>
      <c r="Q58" s="177" t="n">
        <f aca="false">Q$3*$E58</f>
        <v>6.95857020885193</v>
      </c>
      <c r="R58" s="177" t="n">
        <f aca="false">R$3*$E58</f>
        <v>7.55410241792852</v>
      </c>
      <c r="S58" s="177" t="n">
        <f aca="false">S$3*$E58</f>
        <v>8.22564</v>
      </c>
      <c r="T58" s="177" t="n">
        <f aca="false">T$3*$E58</f>
        <v>8.89717758207148</v>
      </c>
      <c r="U58" s="177" t="n">
        <f aca="false">U$3*$E58</f>
        <v>9.49270979114808</v>
      </c>
      <c r="V58" s="177" t="n">
        <f aca="false">V$3*$E58</f>
        <v>9.96714220957166</v>
      </c>
      <c r="W58" s="177" t="n">
        <f aca="false">W$3*$E58</f>
        <v>10.313839784332</v>
      </c>
      <c r="X58" s="177" t="n">
        <f aca="false">X$3*$E58</f>
        <v>10.5515319467267</v>
      </c>
      <c r="Y58" s="177" t="n">
        <f aca="false">Y$3*$E58</f>
        <v>10.7074478937038</v>
      </c>
      <c r="Z58" s="177" t="n">
        <f aca="false">Z$3*$E58</f>
        <v>10.8067787614949</v>
      </c>
      <c r="AA58" s="177" t="n">
        <f aca="false">AA$3*$E58</f>
        <v>10.8688879412583</v>
      </c>
      <c r="AB58" s="177" t="n">
        <f aca="false">AB$3*$E58</f>
        <v>10.9072702434801</v>
      </c>
      <c r="AC58" s="177" t="n">
        <f aca="false">AC$3*$E58</f>
        <v>10.9308180118154</v>
      </c>
      <c r="AD58" s="219" t="n">
        <f aca="false">Algae_electricity_factor/H58</f>
        <v>0.00250623606859696</v>
      </c>
      <c r="AE58" s="220" t="n">
        <f aca="false">Algae_electricity_factor/I58</f>
        <v>0.00250623606859696</v>
      </c>
      <c r="AF58" s="220" t="n">
        <f aca="false">Algae_electricity_factor/J58</f>
        <v>0.00250623606859696</v>
      </c>
      <c r="AG58" s="220" t="n">
        <f aca="false">Algae_electricity_factor/K58</f>
        <v>0.00250623606859696</v>
      </c>
      <c r="AH58" s="220" t="n">
        <f aca="false">Algae_electricity_factor/L58</f>
        <v>0.00250623606859696</v>
      </c>
      <c r="AI58" s="220" t="n">
        <f aca="false">Algae_electricity_factor/M58</f>
        <v>0.00239275745690128</v>
      </c>
      <c r="AJ58" s="220" t="n">
        <f aca="false">Algae_electricity_factor/N58</f>
        <v>0.00232952271511053</v>
      </c>
      <c r="AK58" s="220" t="n">
        <f aca="false">Algae_electricity_factor/O58</f>
        <v>0.00223930443647236</v>
      </c>
      <c r="AL58" s="220" t="n">
        <f aca="false">Algae_electricity_factor/P58</f>
        <v>0.00211957203065874</v>
      </c>
      <c r="AM58" s="220" t="n">
        <f aca="false">Algae_electricity_factor/Q58</f>
        <v>0.0019750604924624</v>
      </c>
      <c r="AN58" s="220" t="n">
        <f aca="false">Algae_electricity_factor/R58</f>
        <v>0.00181935541023523</v>
      </c>
      <c r="AO58" s="220" t="n">
        <f aca="false">Algae_electricity_factor/S58</f>
        <v>0.00167082404573131</v>
      </c>
      <c r="AP58" s="220" t="n">
        <f aca="false">Algae_electricity_factor/T58</f>
        <v>0.00154471426210754</v>
      </c>
      <c r="AQ58" s="220" t="n">
        <f aca="false">Algae_electricity_factor/U58</f>
        <v>0.00144780546397248</v>
      </c>
      <c r="AR58" s="220" t="n">
        <f aca="false">Algae_electricity_factor/V58</f>
        <v>0.00137889043966193</v>
      </c>
      <c r="AS58" s="220" t="n">
        <f aca="false">Algae_electricity_factor/W58</f>
        <v>0.0013325393249183</v>
      </c>
      <c r="AT58" s="220" t="n">
        <f aca="false">Algae_electricity_factor/X58</f>
        <v>0.0013025214890993</v>
      </c>
      <c r="AU58" s="220" t="n">
        <f aca="false">Algae_electricity_factor/Y58</f>
        <v>0.00128355489001359</v>
      </c>
      <c r="AV58" s="220" t="n">
        <f aca="false">Algae_electricity_factor/Z58</f>
        <v>0.00127175705238811</v>
      </c>
      <c r="AW58" s="220" t="n">
        <f aca="false">Algae_electricity_factor/AA58</f>
        <v>0.00126448972312601</v>
      </c>
      <c r="AX58" s="220" t="n">
        <f aca="false">Algae_electricity_factor/AB58</f>
        <v>0.00126004002804869</v>
      </c>
      <c r="AY58" s="220" t="n">
        <f aca="false">Algae_electricity_factor/AC58</f>
        <v>0.00125732558063572</v>
      </c>
      <c r="AZ58" s="221" t="n">
        <f aca="false">Algae_yield_cost_factor/H58</f>
        <v>0.138744696939001</v>
      </c>
      <c r="BA58" s="197" t="n">
        <f aca="false">Algae_yield_cost_factor/I58</f>
        <v>0.138744696939001</v>
      </c>
      <c r="BB58" s="197" t="n">
        <f aca="false">Algae_yield_cost_factor/J58</f>
        <v>0.138744696939001</v>
      </c>
      <c r="BC58" s="197" t="n">
        <f aca="false">Algae_yield_cost_factor/K58</f>
        <v>0.138744696939001</v>
      </c>
      <c r="BD58" s="197" t="n">
        <f aca="false">Algae_yield_cost_factor/L58</f>
        <v>0.138744696939001</v>
      </c>
      <c r="BE58" s="197" t="n">
        <f aca="false">Algae_yield_cost_factor/M58</f>
        <v>0.132462545075474</v>
      </c>
      <c r="BF58" s="197" t="n">
        <f aca="false">Algae_yield_cost_factor/N58</f>
        <v>0.12896188318823</v>
      </c>
      <c r="BG58" s="197" t="n">
        <f aca="false">Algae_yield_cost_factor/O58</f>
        <v>0.123967418426968</v>
      </c>
      <c r="BH58" s="197" t="n">
        <f aca="false">Algae_yield_cost_factor/P58</f>
        <v>0.117339057848115</v>
      </c>
      <c r="BI58" s="197" t="n">
        <f aca="false">Algae_yield_cost_factor/Q58</f>
        <v>0.109338929758639</v>
      </c>
      <c r="BJ58" s="197" t="n">
        <f aca="false">Algae_yield_cost_factor/R58</f>
        <v>0.100719129446865</v>
      </c>
      <c r="BK58" s="197" t="n">
        <f aca="false">Algae_yield_cost_factor/S58</f>
        <v>0.0924964646260009</v>
      </c>
      <c r="BL58" s="197" t="n">
        <f aca="false">Algae_yield_cost_factor/T58</f>
        <v>0.0855150537648452</v>
      </c>
      <c r="BM58" s="197" t="n">
        <f aca="false">Algae_yield_cost_factor/U58</f>
        <v>0.0801502032639512</v>
      </c>
      <c r="BN58" s="197" t="n">
        <f aca="false">Algae_yield_cost_factor/V58</f>
        <v>0.0763350821417562</v>
      </c>
      <c r="BO58" s="197" t="n">
        <f aca="false">Algae_yield_cost_factor/W58</f>
        <v>0.0737690942651672</v>
      </c>
      <c r="BP58" s="197" t="n">
        <f aca="false">Algae_yield_cost_factor/X58</f>
        <v>0.0721073132439547</v>
      </c>
      <c r="BQ58" s="197" t="n">
        <f aca="false">Algae_yield_cost_factor/Y58</f>
        <v>0.0710573263432466</v>
      </c>
      <c r="BR58" s="197" t="n">
        <f aca="false">Algae_yield_cost_factor/Z58</f>
        <v>0.0704042005557785</v>
      </c>
      <c r="BS58" s="197" t="n">
        <f aca="false">Algae_yield_cost_factor/AA58</f>
        <v>0.0700018827499417</v>
      </c>
      <c r="BT58" s="197" t="n">
        <f aca="false">Algae_yield_cost_factor/AB58</f>
        <v>0.0697555485746784</v>
      </c>
      <c r="BU58" s="197" t="n">
        <f aca="false">Algae_yield_cost_factor/AC58</f>
        <v>0.069605277341897</v>
      </c>
    </row>
    <row r="59" customFormat="false" ht="13.8" hidden="false" customHeight="false" outlineLevel="0" collapsed="false">
      <c r="A59" s="18" t="s">
        <v>699</v>
      </c>
      <c r="B59" s="18" t="s">
        <v>22</v>
      </c>
      <c r="C59" s="18" t="s">
        <v>692</v>
      </c>
      <c r="D59" s="18" t="s">
        <v>692</v>
      </c>
      <c r="E59" s="28" t="n">
        <v>4.980936</v>
      </c>
      <c r="F59" s="185" t="n">
        <f aca="false">E59/$B$2*$F$3/1000</f>
        <v>0.0122032932</v>
      </c>
      <c r="G59" s="18" t="n">
        <f aca="false">LOOKUP(RIGHT(D59,5),Ref!$C$4:$C$21,Ref!$E$4:$E$21)*$G$3</f>
        <v>2.5</v>
      </c>
      <c r="H59" s="218" t="n">
        <f aca="false">$E59</f>
        <v>4.980936</v>
      </c>
      <c r="I59" s="177" t="n">
        <f aca="false">$E59</f>
        <v>4.980936</v>
      </c>
      <c r="J59" s="177" t="n">
        <f aca="false">$E59</f>
        <v>4.980936</v>
      </c>
      <c r="K59" s="177" t="n">
        <f aca="false">$E59</f>
        <v>4.980936</v>
      </c>
      <c r="L59" s="177" t="n">
        <f aca="false">$E59</f>
        <v>4.980936</v>
      </c>
      <c r="M59" s="177" t="n">
        <f aca="false">M$3*$E59</f>
        <v>5.21716123904158</v>
      </c>
      <c r="N59" s="177" t="n">
        <f aca="false">N$3*$E59</f>
        <v>5.35878073976229</v>
      </c>
      <c r="O59" s="177" t="n">
        <f aca="false">O$3*$E59</f>
        <v>5.57467812560516</v>
      </c>
      <c r="P59" s="177" t="n">
        <f aca="false">P$3*$E59</f>
        <v>5.88958585884594</v>
      </c>
      <c r="Q59" s="177" t="n">
        <f aca="false">Q$3*$E59</f>
        <v>6.32051600759298</v>
      </c>
      <c r="R59" s="177" t="n">
        <f aca="false">R$3*$E59</f>
        <v>6.86144190868076</v>
      </c>
      <c r="S59" s="177" t="n">
        <f aca="false">S$3*$E59</f>
        <v>7.471404</v>
      </c>
      <c r="T59" s="177" t="n">
        <f aca="false">T$3*$E59</f>
        <v>8.08136609131924</v>
      </c>
      <c r="U59" s="177" t="n">
        <f aca="false">U$3*$E59</f>
        <v>8.62229199240702</v>
      </c>
      <c r="V59" s="177" t="n">
        <f aca="false">V$3*$E59</f>
        <v>9.05322214115406</v>
      </c>
      <c r="W59" s="177" t="n">
        <f aca="false">W$3*$E59</f>
        <v>9.36812987439484</v>
      </c>
      <c r="X59" s="177" t="n">
        <f aca="false">X$3*$E59</f>
        <v>9.58402726023771</v>
      </c>
      <c r="Y59" s="177" t="n">
        <f aca="false">Y$3*$E59</f>
        <v>9.72564676095842</v>
      </c>
      <c r="Z59" s="177" t="n">
        <f aca="false">Z$3*$E59</f>
        <v>9.81586965461026</v>
      </c>
      <c r="AA59" s="177" t="n">
        <f aca="false">AA$3*$E59</f>
        <v>9.87228383929626</v>
      </c>
      <c r="AB59" s="177" t="n">
        <f aca="false">AB$3*$E59</f>
        <v>9.90714674192134</v>
      </c>
      <c r="AC59" s="177" t="n">
        <f aca="false">AC$3*$E59</f>
        <v>9.9285353378886</v>
      </c>
      <c r="AD59" s="219" t="n">
        <f aca="false">Algae_electricity_factor/H59</f>
        <v>0.00275923985040749</v>
      </c>
      <c r="AE59" s="220" t="n">
        <f aca="false">Algae_electricity_factor/I59</f>
        <v>0.00275923985040749</v>
      </c>
      <c r="AF59" s="220" t="n">
        <f aca="false">Algae_electricity_factor/J59</f>
        <v>0.00275923985040749</v>
      </c>
      <c r="AG59" s="220" t="n">
        <f aca="false">Algae_electricity_factor/K59</f>
        <v>0.00275923985040749</v>
      </c>
      <c r="AH59" s="220" t="n">
        <f aca="false">Algae_electricity_factor/L59</f>
        <v>0.00275923985040749</v>
      </c>
      <c r="AI59" s="220" t="n">
        <f aca="false">Algae_electricity_factor/M59</f>
        <v>0.00263430560678896</v>
      </c>
      <c r="AJ59" s="220" t="n">
        <f aca="false">Algae_electricity_factor/N59</f>
        <v>0.00256468733672035</v>
      </c>
      <c r="AK59" s="220" t="n">
        <f aca="false">Algae_electricity_factor/O59</f>
        <v>0.00246536154982712</v>
      </c>
      <c r="AL59" s="220" t="n">
        <f aca="false">Algae_electricity_factor/P59</f>
        <v>0.00233354219344419</v>
      </c>
      <c r="AM59" s="220" t="n">
        <f aca="false">Algae_electricity_factor/Q59</f>
        <v>0.00217444225867299</v>
      </c>
      <c r="AN59" s="220" t="n">
        <f aca="false">Algae_electricity_factor/R59</f>
        <v>0.00200301879494768</v>
      </c>
      <c r="AO59" s="220" t="n">
        <f aca="false">Algae_electricity_factor/S59</f>
        <v>0.00183949323360499</v>
      </c>
      <c r="AP59" s="220" t="n">
        <f aca="false">Algae_electricity_factor/T59</f>
        <v>0.0017006527050287</v>
      </c>
      <c r="AQ59" s="220" t="n">
        <f aca="false">Algae_electricity_factor/U59</f>
        <v>0.0015939609926957</v>
      </c>
      <c r="AR59" s="220" t="n">
        <f aca="false">Algae_electricity_factor/V59</f>
        <v>0.00151808901728521</v>
      </c>
      <c r="AS59" s="220" t="n">
        <f aca="false">Algae_electricity_factor/W59</f>
        <v>0.00146705877136626</v>
      </c>
      <c r="AT59" s="220" t="n">
        <f aca="false">Algae_electricity_factor/X59</f>
        <v>0.00143401064399606</v>
      </c>
      <c r="AU59" s="220" t="n">
        <f aca="false">Algae_electricity_factor/Y59</f>
        <v>0.00141312937240329</v>
      </c>
      <c r="AV59" s="220" t="n">
        <f aca="false">Algae_electricity_factor/Z59</f>
        <v>0.00140014054659683</v>
      </c>
      <c r="AW59" s="220" t="n">
        <f aca="false">Algae_electricity_factor/AA59</f>
        <v>0.0013921395826185</v>
      </c>
      <c r="AX59" s="220" t="n">
        <f aca="false">Algae_electricity_factor/AB59</f>
        <v>0.0013872406921535</v>
      </c>
      <c r="AY59" s="220" t="n">
        <f aca="false">Algae_electricity_factor/AC59</f>
        <v>0.00138425222208576</v>
      </c>
      <c r="AZ59" s="221" t="n">
        <f aca="false">Algae_yield_cost_factor/H59</f>
        <v>0.152750932613111</v>
      </c>
      <c r="BA59" s="197" t="n">
        <f aca="false">Algae_yield_cost_factor/I59</f>
        <v>0.152750932613111</v>
      </c>
      <c r="BB59" s="197" t="n">
        <f aca="false">Algae_yield_cost_factor/J59</f>
        <v>0.152750932613111</v>
      </c>
      <c r="BC59" s="197" t="n">
        <f aca="false">Algae_yield_cost_factor/K59</f>
        <v>0.152750932613111</v>
      </c>
      <c r="BD59" s="197" t="n">
        <f aca="false">Algae_yield_cost_factor/L59</f>
        <v>0.152750932613111</v>
      </c>
      <c r="BE59" s="197" t="n">
        <f aca="false">Algae_yield_cost_factor/M59</f>
        <v>0.145834599397198</v>
      </c>
      <c r="BF59" s="197" t="n">
        <f aca="false">Algae_yield_cost_factor/N59</f>
        <v>0.141980546739064</v>
      </c>
      <c r="BG59" s="197" t="n">
        <f aca="false">Algae_yield_cost_factor/O59</f>
        <v>0.136481892253398</v>
      </c>
      <c r="BH59" s="197" t="n">
        <f aca="false">Algae_yield_cost_factor/P59</f>
        <v>0.129184400655856</v>
      </c>
      <c r="BI59" s="197" t="n">
        <f aca="false">Algae_yield_cost_factor/Q59</f>
        <v>0.120376662027626</v>
      </c>
      <c r="BJ59" s="197" t="n">
        <f aca="false">Algae_yield_cost_factor/R59</f>
        <v>0.110886695451526</v>
      </c>
      <c r="BK59" s="197" t="n">
        <f aca="false">Algae_yield_cost_factor/S59</f>
        <v>0.101833955075407</v>
      </c>
      <c r="BL59" s="197" t="n">
        <f aca="false">Algae_yield_cost_factor/T59</f>
        <v>0.0941477728751197</v>
      </c>
      <c r="BM59" s="197" t="n">
        <f aca="false">Algae_yield_cost_factor/U59</f>
        <v>0.0882413423201432</v>
      </c>
      <c r="BN59" s="197" t="n">
        <f aca="false">Algae_yield_cost_factor/V59</f>
        <v>0.0840410858613074</v>
      </c>
      <c r="BO59" s="197" t="n">
        <f aca="false">Algae_yield_cost_factor/W59</f>
        <v>0.0812160622757556</v>
      </c>
      <c r="BP59" s="197" t="n">
        <f aca="false">Algae_yield_cost_factor/X59</f>
        <v>0.079386524957291</v>
      </c>
      <c r="BQ59" s="197" t="n">
        <f aca="false">Algae_yield_cost_factor/Y59</f>
        <v>0.0782305421928814</v>
      </c>
      <c r="BR59" s="197" t="n">
        <f aca="false">Algae_yield_cost_factor/Z59</f>
        <v>0.07751148355244</v>
      </c>
      <c r="BS59" s="197" t="n">
        <f aca="false">Algae_yield_cost_factor/AA59</f>
        <v>0.0770685518843889</v>
      </c>
      <c r="BT59" s="197" t="n">
        <f aca="false">Algae_yield_cost_factor/AB59</f>
        <v>0.0767973503477817</v>
      </c>
      <c r="BU59" s="197" t="n">
        <f aca="false">Algae_yield_cost_factor/AC59</f>
        <v>0.0766319092789792</v>
      </c>
    </row>
    <row r="60" customFormat="false" ht="13.8" hidden="false" customHeight="false" outlineLevel="0" collapsed="false">
      <c r="A60" s="18" t="s">
        <v>699</v>
      </c>
      <c r="B60" s="18" t="s">
        <v>22</v>
      </c>
      <c r="C60" s="18" t="s">
        <v>693</v>
      </c>
      <c r="D60" s="18" t="s">
        <v>693</v>
      </c>
      <c r="E60" s="28" t="n">
        <v>6.10937</v>
      </c>
      <c r="F60" s="185" t="n">
        <f aca="false">E60/$B$2*$F$3/1000</f>
        <v>0.0149679565</v>
      </c>
      <c r="G60" s="18" t="n">
        <f aca="false">LOOKUP(RIGHT(D60,5),Ref!$C$4:$C$21,Ref!$E$4:$E$21)*$G$3</f>
        <v>3</v>
      </c>
      <c r="H60" s="218" t="n">
        <f aca="false">$E60</f>
        <v>6.10937</v>
      </c>
      <c r="I60" s="177" t="n">
        <f aca="false">$E60</f>
        <v>6.10937</v>
      </c>
      <c r="J60" s="177" t="n">
        <f aca="false">$E60</f>
        <v>6.10937</v>
      </c>
      <c r="K60" s="177" t="n">
        <f aca="false">$E60</f>
        <v>6.10937</v>
      </c>
      <c r="L60" s="177" t="n">
        <f aca="false">$E60</f>
        <v>6.10937</v>
      </c>
      <c r="M60" s="177" t="n">
        <f aca="false">M$3*$E60</f>
        <v>6.39911220681483</v>
      </c>
      <c r="N60" s="177" t="n">
        <f aca="false">N$3*$E60</f>
        <v>6.57281568927639</v>
      </c>
      <c r="O60" s="177" t="n">
        <f aca="false">O$3*$E60</f>
        <v>6.83762475571426</v>
      </c>
      <c r="P60" s="177" t="n">
        <f aca="false">P$3*$E60</f>
        <v>7.22387502237684</v>
      </c>
      <c r="Q60" s="177" t="n">
        <f aca="false">Q$3*$E60</f>
        <v>7.75243265147521</v>
      </c>
      <c r="R60" s="177" t="n">
        <f aca="false">R$3*$E60</f>
        <v>8.41590563573533</v>
      </c>
      <c r="S60" s="177" t="n">
        <f aca="false">S$3*$E60</f>
        <v>9.164055</v>
      </c>
      <c r="T60" s="177" t="n">
        <f aca="false">T$3*$E60</f>
        <v>9.91220436426467</v>
      </c>
      <c r="U60" s="177" t="n">
        <f aca="false">U$3*$E60</f>
        <v>10.5756773485248</v>
      </c>
      <c r="V60" s="177" t="n">
        <f aca="false">V$3*$E60</f>
        <v>11.1042349776232</v>
      </c>
      <c r="W60" s="177" t="n">
        <f aca="false">W$3*$E60</f>
        <v>11.4904852442857</v>
      </c>
      <c r="X60" s="177" t="n">
        <f aca="false">X$3*$E60</f>
        <v>11.7552943107236</v>
      </c>
      <c r="Y60" s="177" t="n">
        <f aca="false">Y$3*$E60</f>
        <v>11.9289977931852</v>
      </c>
      <c r="Z60" s="177" t="n">
        <f aca="false">Z$3*$E60</f>
        <v>12.0396607368146</v>
      </c>
      <c r="AA60" s="177" t="n">
        <f aca="false">AA$3*$E60</f>
        <v>12.1088555884439</v>
      </c>
      <c r="AB60" s="177" t="n">
        <f aca="false">AB$3*$E60</f>
        <v>12.1516167023009</v>
      </c>
      <c r="AC60" s="177" t="n">
        <f aca="false">AC$3*$E60</f>
        <v>12.1778508973487</v>
      </c>
      <c r="AD60" s="219" t="n">
        <f aca="false">Algae_electricity_factor/H60</f>
        <v>0.00224959318285343</v>
      </c>
      <c r="AE60" s="220" t="n">
        <f aca="false">Algae_electricity_factor/I60</f>
        <v>0.00224959318285343</v>
      </c>
      <c r="AF60" s="220" t="n">
        <f aca="false">Algae_electricity_factor/J60</f>
        <v>0.00224959318285343</v>
      </c>
      <c r="AG60" s="220" t="n">
        <f aca="false">Algae_electricity_factor/K60</f>
        <v>0.00224959318285343</v>
      </c>
      <c r="AH60" s="220" t="n">
        <f aca="false">Algae_electricity_factor/L60</f>
        <v>0.00224959318285343</v>
      </c>
      <c r="AI60" s="220" t="n">
        <f aca="false">Algae_electricity_factor/M60</f>
        <v>0.00214773497625074</v>
      </c>
      <c r="AJ60" s="220" t="n">
        <f aca="false">Algae_electricity_factor/N60</f>
        <v>0.00209097558082331</v>
      </c>
      <c r="AK60" s="220" t="n">
        <f aca="false">Algae_electricity_factor/O60</f>
        <v>0.00200999580915048</v>
      </c>
      <c r="AL60" s="220" t="n">
        <f aca="false">Algae_electricity_factor/P60</f>
        <v>0.00190252420770802</v>
      </c>
      <c r="AM60" s="220" t="n">
        <f aca="false">Algae_electricity_factor/Q60</f>
        <v>0.0017728108996747</v>
      </c>
      <c r="AN60" s="220" t="n">
        <f aca="false">Algae_electricity_factor/R60</f>
        <v>0.00163305028577931</v>
      </c>
      <c r="AO60" s="220" t="n">
        <f aca="false">Algae_electricity_factor/S60</f>
        <v>0.00149972878856895</v>
      </c>
      <c r="AP60" s="220" t="n">
        <f aca="false">Algae_electricity_factor/T60</f>
        <v>0.00138653286377725</v>
      </c>
      <c r="AQ60" s="220" t="n">
        <f aca="false">Algae_electricity_factor/U60</f>
        <v>0.00129954769331596</v>
      </c>
      <c r="AR60" s="220" t="n">
        <f aca="false">Algae_electricity_factor/V60</f>
        <v>0.00123768968607246</v>
      </c>
      <c r="AS60" s="220" t="n">
        <f aca="false">Algae_electricity_factor/W60</f>
        <v>0.00119608500523196</v>
      </c>
      <c r="AT60" s="220" t="n">
        <f aca="false">Algae_electricity_factor/X60</f>
        <v>0.00116914104745058</v>
      </c>
      <c r="AU60" s="220" t="n">
        <f aca="false">Algae_electricity_factor/Y60</f>
        <v>0.00115211666074586</v>
      </c>
      <c r="AV60" s="220" t="n">
        <f aca="false">Algae_electricity_factor/Z60</f>
        <v>0.00114152694199301</v>
      </c>
      <c r="AW60" s="220" t="n">
        <f aca="false">Algae_electricity_factor/AA60</f>
        <v>0.00113500379975177</v>
      </c>
      <c r="AX60" s="220" t="n">
        <f aca="false">Algae_electricity_factor/AB60</f>
        <v>0.00113100976110667</v>
      </c>
      <c r="AY60" s="220" t="n">
        <f aca="false">Algae_electricity_factor/AC60</f>
        <v>0.00112857327777937</v>
      </c>
      <c r="AZ60" s="221" t="n">
        <f aca="false">Algae_yield_cost_factor/H60</f>
        <v>0.124537001243372</v>
      </c>
      <c r="BA60" s="197" t="n">
        <f aca="false">Algae_yield_cost_factor/I60</f>
        <v>0.124537001243372</v>
      </c>
      <c r="BB60" s="197" t="n">
        <f aca="false">Algae_yield_cost_factor/J60</f>
        <v>0.124537001243372</v>
      </c>
      <c r="BC60" s="197" t="n">
        <f aca="false">Algae_yield_cost_factor/K60</f>
        <v>0.124537001243372</v>
      </c>
      <c r="BD60" s="197" t="n">
        <f aca="false">Algae_yield_cost_factor/L60</f>
        <v>0.124537001243372</v>
      </c>
      <c r="BE60" s="197" t="n">
        <f aca="false">Algae_yield_cost_factor/M60</f>
        <v>0.118898152539964</v>
      </c>
      <c r="BF60" s="197" t="n">
        <f aca="false">Algae_yield_cost_factor/N60</f>
        <v>0.115755964453338</v>
      </c>
      <c r="BG60" s="197" t="n">
        <f aca="false">Algae_yield_cost_factor/O60</f>
        <v>0.111272941477283</v>
      </c>
      <c r="BH60" s="197" t="n">
        <f aca="false">Algae_yield_cost_factor/P60</f>
        <v>0.105323336426698</v>
      </c>
      <c r="BI60" s="197" t="n">
        <f aca="false">Algae_yield_cost_factor/Q60</f>
        <v>0.0981424352188906</v>
      </c>
      <c r="BJ60" s="197" t="n">
        <f aca="false">Algae_yield_cost_factor/R60</f>
        <v>0.0904053172905782</v>
      </c>
      <c r="BK60" s="197" t="n">
        <f aca="false">Algae_yield_cost_factor/S60</f>
        <v>0.0830246674955811</v>
      </c>
      <c r="BL60" s="197" t="n">
        <f aca="false">Algae_yield_cost_factor/T60</f>
        <v>0.0767581651190724</v>
      </c>
      <c r="BM60" s="197" t="n">
        <f aca="false">Algae_yield_cost_factor/U60</f>
        <v>0.0719426845404231</v>
      </c>
      <c r="BN60" s="197" t="n">
        <f aca="false">Algae_yield_cost_factor/V60</f>
        <v>0.0685182383855745</v>
      </c>
      <c r="BO60" s="197" t="n">
        <f aca="false">Algae_yield_cost_factor/W60</f>
        <v>0.0662150120826784</v>
      </c>
      <c r="BP60" s="197" t="n">
        <f aca="false">Algae_yield_cost_factor/X60</f>
        <v>0.0647234002973578</v>
      </c>
      <c r="BQ60" s="197" t="n">
        <f aca="false">Algae_yield_cost_factor/Y60</f>
        <v>0.0637809338619271</v>
      </c>
      <c r="BR60" s="197" t="n">
        <f aca="false">Algae_yield_cost_factor/Z60</f>
        <v>0.0631946892788873</v>
      </c>
      <c r="BS60" s="197" t="n">
        <f aca="false">Algae_yield_cost_factor/AA60</f>
        <v>0.0628335695086106</v>
      </c>
      <c r="BT60" s="197" t="n">
        <f aca="false">Algae_yield_cost_factor/AB60</f>
        <v>0.0626124603767456</v>
      </c>
      <c r="BU60" s="197" t="n">
        <f aca="false">Algae_yield_cost_factor/AC60</f>
        <v>0.0624775771767631</v>
      </c>
    </row>
    <row r="61" customFormat="false" ht="13.8" hidden="false" customHeight="false" outlineLevel="0" collapsed="false">
      <c r="A61" s="18" t="s">
        <v>699</v>
      </c>
      <c r="B61" s="18" t="s">
        <v>22</v>
      </c>
      <c r="C61" s="18" t="s">
        <v>694</v>
      </c>
      <c r="D61" s="18" t="s">
        <v>694</v>
      </c>
      <c r="E61" s="28" t="n">
        <v>6.53861</v>
      </c>
      <c r="F61" s="185" t="n">
        <f aca="false">E61/$B$2*$F$3/1000</f>
        <v>0.0160195945</v>
      </c>
      <c r="G61" s="18" t="n">
        <f aca="false">LOOKUP(RIGHT(D61,5),Ref!$C$4:$C$21,Ref!$E$4:$E$21)*$G$3</f>
        <v>3</v>
      </c>
      <c r="H61" s="218" t="n">
        <f aca="false">$E61</f>
        <v>6.53861</v>
      </c>
      <c r="I61" s="177" t="n">
        <f aca="false">$E61</f>
        <v>6.53861</v>
      </c>
      <c r="J61" s="177" t="n">
        <f aca="false">$E61</f>
        <v>6.53861</v>
      </c>
      <c r="K61" s="177" t="n">
        <f aca="false">$E61</f>
        <v>6.53861</v>
      </c>
      <c r="L61" s="177" t="n">
        <f aca="false">$E61</f>
        <v>6.53861</v>
      </c>
      <c r="M61" s="177" t="n">
        <f aca="false">M$3*$E61</f>
        <v>6.84870928861757</v>
      </c>
      <c r="N61" s="177" t="n">
        <f aca="false">N$3*$E61</f>
        <v>7.0346170544687</v>
      </c>
      <c r="O61" s="177" t="n">
        <f aca="false">O$3*$E61</f>
        <v>7.31803141796304</v>
      </c>
      <c r="P61" s="177" t="n">
        <f aca="false">P$3*$E61</f>
        <v>7.73141935421548</v>
      </c>
      <c r="Q61" s="177" t="n">
        <f aca="false">Q$3*$E61</f>
        <v>8.29711306718406</v>
      </c>
      <c r="R61" s="177" t="n">
        <f aca="false">R$3*$E61</f>
        <v>9.00720119241024</v>
      </c>
      <c r="S61" s="177" t="n">
        <f aca="false">S$3*$E61</f>
        <v>9.807915</v>
      </c>
      <c r="T61" s="177" t="n">
        <f aca="false">T$3*$E61</f>
        <v>10.6086288075898</v>
      </c>
      <c r="U61" s="177" t="n">
        <f aca="false">U$3*$E61</f>
        <v>11.3187169328159</v>
      </c>
      <c r="V61" s="177" t="n">
        <f aca="false">V$3*$E61</f>
        <v>11.8844106457845</v>
      </c>
      <c r="W61" s="177" t="n">
        <f aca="false">W$3*$E61</f>
        <v>12.297798582037</v>
      </c>
      <c r="X61" s="177" t="n">
        <f aca="false">X$3*$E61</f>
        <v>12.5812129455313</v>
      </c>
      <c r="Y61" s="177" t="n">
        <f aca="false">Y$3*$E61</f>
        <v>12.7671207113824</v>
      </c>
      <c r="Z61" s="177" t="n">
        <f aca="false">Z$3*$E61</f>
        <v>12.8855587548869</v>
      </c>
      <c r="AA61" s="177" t="n">
        <f aca="false">AA$3*$E61</f>
        <v>12.9596151876798</v>
      </c>
      <c r="AB61" s="177" t="n">
        <f aca="false">AB$3*$E61</f>
        <v>13.0053806670462</v>
      </c>
      <c r="AC61" s="177" t="n">
        <f aca="false">AC$3*$E61</f>
        <v>13.033458058018</v>
      </c>
      <c r="AD61" s="219" t="n">
        <f aca="false">Algae_electricity_factor/H61</f>
        <v>0.00210191418413535</v>
      </c>
      <c r="AE61" s="220" t="n">
        <f aca="false">Algae_electricity_factor/I61</f>
        <v>0.00210191418413535</v>
      </c>
      <c r="AF61" s="220" t="n">
        <f aca="false">Algae_electricity_factor/J61</f>
        <v>0.00210191418413535</v>
      </c>
      <c r="AG61" s="220" t="n">
        <f aca="false">Algae_electricity_factor/K61</f>
        <v>0.00210191418413535</v>
      </c>
      <c r="AH61" s="220" t="n">
        <f aca="false">Algae_electricity_factor/L61</f>
        <v>0.00210191418413535</v>
      </c>
      <c r="AI61" s="220" t="n">
        <f aca="false">Algae_electricity_factor/M61</f>
        <v>0.00200674266118594</v>
      </c>
      <c r="AJ61" s="220" t="n">
        <f aca="false">Algae_electricity_factor/N61</f>
        <v>0.00195370934865583</v>
      </c>
      <c r="AK61" s="220" t="n">
        <f aca="false">Algae_electricity_factor/O61</f>
        <v>0.00187804565443568</v>
      </c>
      <c r="AL61" s="220" t="n">
        <f aca="false">Algae_electricity_factor/P61</f>
        <v>0.00177762923906536</v>
      </c>
      <c r="AM61" s="220" t="n">
        <f aca="false">Algae_electricity_factor/Q61</f>
        <v>0.00165643121797226</v>
      </c>
      <c r="AN61" s="220" t="n">
        <f aca="false">Algae_electricity_factor/R61</f>
        <v>0.00152584546630423</v>
      </c>
      <c r="AO61" s="220" t="n">
        <f aca="false">Algae_electricity_factor/S61</f>
        <v>0.0014012761227569</v>
      </c>
      <c r="AP61" s="220" t="n">
        <f aca="false">Algae_electricity_factor/T61</f>
        <v>0.00129551116857785</v>
      </c>
      <c r="AQ61" s="220" t="n">
        <f aca="false">Algae_electricity_factor/U61</f>
        <v>0.00121423631186349</v>
      </c>
      <c r="AR61" s="220" t="n">
        <f aca="false">Algae_electricity_factor/V61</f>
        <v>0.00115643909598531</v>
      </c>
      <c r="AS61" s="220" t="n">
        <f aca="false">Algae_electricity_factor/W61</f>
        <v>0.0011175656367965</v>
      </c>
      <c r="AT61" s="220" t="n">
        <f aca="false">Algae_electricity_factor/X61</f>
        <v>0.00109239046847314</v>
      </c>
      <c r="AU61" s="220" t="n">
        <f aca="false">Algae_electricity_factor/Y61</f>
        <v>0.0010764836813422</v>
      </c>
      <c r="AV61" s="220" t="n">
        <f aca="false">Algae_electricity_factor/Z61</f>
        <v>0.00106658914564469</v>
      </c>
      <c r="AW61" s="220" t="n">
        <f aca="false">Algae_electricity_factor/AA61</f>
        <v>0.0010604942279918</v>
      </c>
      <c r="AX61" s="220" t="n">
        <f aca="false">Algae_electricity_factor/AB61</f>
        <v>0.00105676238592182</v>
      </c>
      <c r="AY61" s="220" t="n">
        <f aca="false">Algae_electricity_factor/AC61</f>
        <v>0.00105448585036681</v>
      </c>
      <c r="AZ61" s="221" t="n">
        <f aca="false">Algae_yield_cost_factor/H61</f>
        <v>0.116361523211542</v>
      </c>
      <c r="BA61" s="197" t="n">
        <f aca="false">Algae_yield_cost_factor/I61</f>
        <v>0.116361523211542</v>
      </c>
      <c r="BB61" s="197" t="n">
        <f aca="false">Algae_yield_cost_factor/J61</f>
        <v>0.116361523211542</v>
      </c>
      <c r="BC61" s="197" t="n">
        <f aca="false">Algae_yield_cost_factor/K61</f>
        <v>0.116361523211542</v>
      </c>
      <c r="BD61" s="197" t="n">
        <f aca="false">Algae_yield_cost_factor/L61</f>
        <v>0.116361523211542</v>
      </c>
      <c r="BE61" s="197" t="n">
        <f aca="false">Algae_yield_cost_factor/M61</f>
        <v>0.111092847896278</v>
      </c>
      <c r="BF61" s="197" t="n">
        <f aca="false">Algae_yield_cost_factor/N61</f>
        <v>0.108156934968179</v>
      </c>
      <c r="BG61" s="197" t="n">
        <f aca="false">Algae_yield_cost_factor/O61</f>
        <v>0.103968208911844</v>
      </c>
      <c r="BH61" s="197" t="n">
        <f aca="false">Algae_yield_cost_factor/P61</f>
        <v>0.0984091774651152</v>
      </c>
      <c r="BI61" s="197" t="n">
        <f aca="false">Algae_yield_cost_factor/Q61</f>
        <v>0.0916996807353908</v>
      </c>
      <c r="BJ61" s="197" t="n">
        <f aca="false">Algae_yield_cost_factor/R61</f>
        <v>0.0844704812330969</v>
      </c>
      <c r="BK61" s="197" t="n">
        <f aca="false">Algae_yield_cost_factor/S61</f>
        <v>0.0775743488076944</v>
      </c>
      <c r="BL61" s="197" t="n">
        <f aca="false">Algae_yield_cost_factor/T61</f>
        <v>0.0717192233874642</v>
      </c>
      <c r="BM61" s="197" t="n">
        <f aca="false">Algae_yield_cost_factor/U61</f>
        <v>0.0672198645661272</v>
      </c>
      <c r="BN61" s="197" t="n">
        <f aca="false">Algae_yield_cost_factor/V61</f>
        <v>0.0640202229595705</v>
      </c>
      <c r="BO61" s="197" t="n">
        <f aca="false">Algae_yield_cost_factor/W61</f>
        <v>0.0618681965077521</v>
      </c>
      <c r="BP61" s="197" t="n">
        <f aca="false">Algae_yield_cost_factor/X61</f>
        <v>0.0604745045314936</v>
      </c>
      <c r="BQ61" s="197" t="n">
        <f aca="false">Algae_yield_cost_factor/Y61</f>
        <v>0.059593908171315</v>
      </c>
      <c r="BR61" s="197" t="n">
        <f aca="false">Algae_yield_cost_factor/Z61</f>
        <v>0.0590461487747023</v>
      </c>
      <c r="BS61" s="197" t="n">
        <f aca="false">Algae_yield_cost_factor/AA61</f>
        <v>0.0587087354267681</v>
      </c>
      <c r="BT61" s="197" t="n">
        <f aca="false">Algae_yield_cost_factor/AB61</f>
        <v>0.058502141441664</v>
      </c>
      <c r="BU61" s="197" t="n">
        <f aca="false">Algae_yield_cost_factor/AC61</f>
        <v>0.0583761129164152</v>
      </c>
    </row>
    <row r="62" customFormat="false" ht="13.8" hidden="false" customHeight="false" outlineLevel="0" collapsed="false">
      <c r="A62" s="18" t="s">
        <v>699</v>
      </c>
      <c r="B62" s="18" t="s">
        <v>22</v>
      </c>
      <c r="C62" s="18" t="s">
        <v>682</v>
      </c>
      <c r="D62" s="18" t="s">
        <v>682</v>
      </c>
      <c r="E62" s="28" t="n">
        <v>6.638985</v>
      </c>
      <c r="F62" s="185" t="n">
        <f aca="false">E62/$B$2*$F$3/1000</f>
        <v>0.01626551325</v>
      </c>
      <c r="G62" s="18" t="n">
        <f aca="false">LOOKUP(RIGHT(D62,5),Ref!$C$4:$C$21,Ref!$E$4:$E$21)*$G$3</f>
        <v>3</v>
      </c>
      <c r="H62" s="218" t="n">
        <f aca="false">$E62</f>
        <v>6.638985</v>
      </c>
      <c r="I62" s="177" t="n">
        <f aca="false">$E62</f>
        <v>6.638985</v>
      </c>
      <c r="J62" s="177" t="n">
        <f aca="false">$E62</f>
        <v>6.638985</v>
      </c>
      <c r="K62" s="177" t="n">
        <f aca="false">$E62</f>
        <v>6.638985</v>
      </c>
      <c r="L62" s="177" t="n">
        <f aca="false">$E62</f>
        <v>6.638985</v>
      </c>
      <c r="M62" s="177" t="n">
        <f aca="false">M$3*$E62</f>
        <v>6.95384466063777</v>
      </c>
      <c r="N62" s="177" t="n">
        <f aca="false">N$3*$E62</f>
        <v>7.14260631928834</v>
      </c>
      <c r="O62" s="177" t="n">
        <f aca="false">O$3*$E62</f>
        <v>7.43037141126101</v>
      </c>
      <c r="P62" s="177" t="n">
        <f aca="false">P$3*$E62</f>
        <v>7.85010531616754</v>
      </c>
      <c r="Q62" s="177" t="n">
        <f aca="false">Q$3*$E62</f>
        <v>8.42448306235408</v>
      </c>
      <c r="R62" s="177" t="n">
        <f aca="false">R$3*$E62</f>
        <v>9.14547183704086</v>
      </c>
      <c r="S62" s="177" t="n">
        <f aca="false">S$3*$E62</f>
        <v>9.9584775</v>
      </c>
      <c r="T62" s="177" t="n">
        <f aca="false">T$3*$E62</f>
        <v>10.7714831629591</v>
      </c>
      <c r="U62" s="177" t="n">
        <f aca="false">U$3*$E62</f>
        <v>11.4924719376459</v>
      </c>
      <c r="V62" s="177" t="n">
        <f aca="false">V$3*$E62</f>
        <v>12.0668496838325</v>
      </c>
      <c r="W62" s="177" t="n">
        <f aca="false">W$3*$E62</f>
        <v>12.486583588739</v>
      </c>
      <c r="X62" s="177" t="n">
        <f aca="false">X$3*$E62</f>
        <v>12.7743486807117</v>
      </c>
      <c r="Y62" s="177" t="n">
        <f aca="false">Y$3*$E62</f>
        <v>12.9631103393622</v>
      </c>
      <c r="Z62" s="177" t="n">
        <f aca="false">Z$3*$E62</f>
        <v>13.0833665397252</v>
      </c>
      <c r="AA62" s="177" t="n">
        <f aca="false">AA$3*$E62</f>
        <v>13.1585598218548</v>
      </c>
      <c r="AB62" s="177" t="n">
        <f aca="false">AB$3*$E62</f>
        <v>13.2050278526796</v>
      </c>
      <c r="AC62" s="177" t="n">
        <f aca="false">AC$3*$E62</f>
        <v>13.2335362631064</v>
      </c>
      <c r="AD62" s="219" t="n">
        <f aca="false">Algae_electricity_factor/H62</f>
        <v>0.00207013528476556</v>
      </c>
      <c r="AE62" s="220" t="n">
        <f aca="false">Algae_electricity_factor/I62</f>
        <v>0.00207013528476556</v>
      </c>
      <c r="AF62" s="220" t="n">
        <f aca="false">Algae_electricity_factor/J62</f>
        <v>0.00207013528476556</v>
      </c>
      <c r="AG62" s="220" t="n">
        <f aca="false">Algae_electricity_factor/K62</f>
        <v>0.00207013528476556</v>
      </c>
      <c r="AH62" s="220" t="n">
        <f aca="false">Algae_electricity_factor/L62</f>
        <v>0.00207013528476556</v>
      </c>
      <c r="AI62" s="220" t="n">
        <f aca="false">Algae_electricity_factor/M62</f>
        <v>0.00197640266273489</v>
      </c>
      <c r="AJ62" s="220" t="n">
        <f aca="false">Algae_electricity_factor/N62</f>
        <v>0.00192417116234101</v>
      </c>
      <c r="AK62" s="220" t="n">
        <f aca="false">Algae_electricity_factor/O62</f>
        <v>0.00184965142963114</v>
      </c>
      <c r="AL62" s="220" t="n">
        <f aca="false">Algae_electricity_factor/P62</f>
        <v>0.00175075321285485</v>
      </c>
      <c r="AM62" s="220" t="n">
        <f aca="false">Algae_electricity_factor/Q62</f>
        <v>0.00163138758803426</v>
      </c>
      <c r="AN62" s="220" t="n">
        <f aca="false">Algae_electricity_factor/R62</f>
        <v>0.001502776166</v>
      </c>
      <c r="AO62" s="220" t="n">
        <f aca="false">Algae_electricity_factor/S62</f>
        <v>0.0013800901898437</v>
      </c>
      <c r="AP62" s="220" t="n">
        <f aca="false">Algae_electricity_factor/T62</f>
        <v>0.00127592429896661</v>
      </c>
      <c r="AQ62" s="220" t="n">
        <f aca="false">Algae_electricity_factor/U62</f>
        <v>0.0011958782390853</v>
      </c>
      <c r="AR62" s="220" t="n">
        <f aca="false">Algae_electricity_factor/V62</f>
        <v>0.00113895486093138</v>
      </c>
      <c r="AS62" s="220" t="n">
        <f aca="false">Algae_electricity_factor/W62</f>
        <v>0.00110066913065988</v>
      </c>
      <c r="AT62" s="220" t="n">
        <f aca="false">Algae_electricity_factor/X62</f>
        <v>0.0010758745864109</v>
      </c>
      <c r="AU62" s="220" t="n">
        <f aca="false">Algae_electricity_factor/Y62</f>
        <v>0.00106020829443973</v>
      </c>
      <c r="AV62" s="220" t="n">
        <f aca="false">Algae_electricity_factor/Z62</f>
        <v>0.00105046335450432</v>
      </c>
      <c r="AW62" s="220" t="n">
        <f aca="false">Algae_electricity_factor/AA62</f>
        <v>0.00104446058608198</v>
      </c>
      <c r="AX62" s="220" t="n">
        <f aca="false">Algae_electricity_factor/AB62</f>
        <v>0.00104078516583669</v>
      </c>
      <c r="AY62" s="220" t="n">
        <f aca="false">Algae_electricity_factor/AC62</f>
        <v>0.00103854304928644</v>
      </c>
      <c r="AZ62" s="221" t="n">
        <f aca="false">Algae_yield_cost_factor/H62</f>
        <v>0.114602250085852</v>
      </c>
      <c r="BA62" s="197" t="n">
        <f aca="false">Algae_yield_cost_factor/I62</f>
        <v>0.114602250085852</v>
      </c>
      <c r="BB62" s="197" t="n">
        <f aca="false">Algae_yield_cost_factor/J62</f>
        <v>0.114602250085852</v>
      </c>
      <c r="BC62" s="197" t="n">
        <f aca="false">Algae_yield_cost_factor/K62</f>
        <v>0.114602250085852</v>
      </c>
      <c r="BD62" s="197" t="n">
        <f aca="false">Algae_yield_cost_factor/L62</f>
        <v>0.114602250085852</v>
      </c>
      <c r="BE62" s="197" t="n">
        <f aca="false">Algae_yield_cost_factor/M62</f>
        <v>0.109413232020118</v>
      </c>
      <c r="BF62" s="197" t="n">
        <f aca="false">Algae_yield_cost_factor/N62</f>
        <v>0.106521707241738</v>
      </c>
      <c r="BG62" s="197" t="n">
        <f aca="false">Algae_yield_cost_factor/O62</f>
        <v>0.102396310651865</v>
      </c>
      <c r="BH62" s="197" t="n">
        <f aca="false">Algae_yield_cost_factor/P62</f>
        <v>0.096921326357143</v>
      </c>
      <c r="BI62" s="197" t="n">
        <f aca="false">Algae_yield_cost_factor/Q62</f>
        <v>0.0903132706962335</v>
      </c>
      <c r="BJ62" s="197" t="n">
        <f aca="false">Algae_yield_cost_factor/R62</f>
        <v>0.0831933696635163</v>
      </c>
      <c r="BK62" s="197" t="n">
        <f aca="false">Algae_yield_cost_factor/S62</f>
        <v>0.0764015000572344</v>
      </c>
      <c r="BL62" s="197" t="n">
        <f aca="false">Algae_yield_cost_factor/T62</f>
        <v>0.0706348984420822</v>
      </c>
      <c r="BM62" s="197" t="n">
        <f aca="false">Algae_yield_cost_factor/U62</f>
        <v>0.0662035655526748</v>
      </c>
      <c r="BN62" s="197" t="n">
        <f aca="false">Algae_yield_cost_factor/V62</f>
        <v>0.0630522994171062</v>
      </c>
      <c r="BO62" s="197" t="n">
        <f aca="false">Algae_yield_cost_factor/W62</f>
        <v>0.0609328095134351</v>
      </c>
      <c r="BP62" s="197" t="n">
        <f aca="false">Algae_yield_cost_factor/X62</f>
        <v>0.0595601888051666</v>
      </c>
      <c r="BQ62" s="197" t="n">
        <f aca="false">Algae_yield_cost_factor/Y62</f>
        <v>0.0586929062060001</v>
      </c>
      <c r="BR62" s="197" t="n">
        <f aca="false">Algae_yield_cost_factor/Z62</f>
        <v>0.0581534283990333</v>
      </c>
      <c r="BS62" s="197" t="n">
        <f aca="false">Algae_yield_cost_factor/AA62</f>
        <v>0.0578211164129487</v>
      </c>
      <c r="BT62" s="197" t="n">
        <f aca="false">Algae_yield_cost_factor/AB62</f>
        <v>0.0576176459280867</v>
      </c>
      <c r="BU62" s="197" t="n">
        <f aca="false">Algae_yield_cost_factor/AC62</f>
        <v>0.0574935228316379</v>
      </c>
    </row>
    <row r="63" customFormat="false" ht="13.8" hidden="false" customHeight="false" outlineLevel="0" collapsed="false">
      <c r="A63" s="18" t="s">
        <v>699</v>
      </c>
      <c r="B63" s="18" t="s">
        <v>22</v>
      </c>
      <c r="C63" s="18" t="s">
        <v>683</v>
      </c>
      <c r="D63" s="18" t="s">
        <v>683</v>
      </c>
      <c r="E63" s="28" t="n">
        <v>6.84521</v>
      </c>
      <c r="F63" s="185" t="n">
        <f aca="false">E63/$B$2*$F$3/1000</f>
        <v>0.0167707645</v>
      </c>
      <c r="G63" s="18" t="n">
        <f aca="false">LOOKUP(RIGHT(D63,5),Ref!$C$4:$C$21,Ref!$E$4:$E$21)*$G$3</f>
        <v>3</v>
      </c>
      <c r="H63" s="218" t="n">
        <f aca="false">$E63</f>
        <v>6.84521</v>
      </c>
      <c r="I63" s="177" t="n">
        <f aca="false">$E63</f>
        <v>6.84521</v>
      </c>
      <c r="J63" s="177" t="n">
        <f aca="false">$E63</f>
        <v>6.84521</v>
      </c>
      <c r="K63" s="177" t="n">
        <f aca="false">$E63</f>
        <v>6.84521</v>
      </c>
      <c r="L63" s="177" t="n">
        <f aca="false">$E63</f>
        <v>6.84521</v>
      </c>
      <c r="M63" s="177" t="n">
        <f aca="false">M$3*$E63</f>
        <v>7.16985006133381</v>
      </c>
      <c r="N63" s="177" t="n">
        <f aca="false">N$3*$E63</f>
        <v>7.36447517246322</v>
      </c>
      <c r="O63" s="177" t="n">
        <f aca="false">O$3*$E63</f>
        <v>7.66117903385502</v>
      </c>
      <c r="P63" s="177" t="n">
        <f aca="false">P$3*$E63</f>
        <v>8.09395101981451</v>
      </c>
      <c r="Q63" s="177" t="n">
        <f aca="false">Q$3*$E63</f>
        <v>8.6861705069761</v>
      </c>
      <c r="R63" s="177" t="n">
        <f aca="false">R$3*$E63</f>
        <v>9.42955516146375</v>
      </c>
      <c r="S63" s="177" t="n">
        <f aca="false">S$3*$E63</f>
        <v>10.267815</v>
      </c>
      <c r="T63" s="177" t="n">
        <f aca="false">T$3*$E63</f>
        <v>11.1060748385362</v>
      </c>
      <c r="U63" s="177" t="n">
        <f aca="false">U$3*$E63</f>
        <v>11.8494594930239</v>
      </c>
      <c r="V63" s="177" t="n">
        <f aca="false">V$3*$E63</f>
        <v>12.4416789801855</v>
      </c>
      <c r="W63" s="177" t="n">
        <f aca="false">W$3*$E63</f>
        <v>12.874450966145</v>
      </c>
      <c r="X63" s="177" t="n">
        <f aca="false">X$3*$E63</f>
        <v>13.1711548275368</v>
      </c>
      <c r="Y63" s="177" t="n">
        <f aca="false">Y$3*$E63</f>
        <v>13.3657799386662</v>
      </c>
      <c r="Z63" s="177" t="n">
        <f aca="false">Z$3*$E63</f>
        <v>13.4897716249385</v>
      </c>
      <c r="AA63" s="177" t="n">
        <f aca="false">AA$3*$E63</f>
        <v>13.5673006157054</v>
      </c>
      <c r="AB63" s="177" t="n">
        <f aca="false">AB$3*$E63</f>
        <v>13.6152120704356</v>
      </c>
      <c r="AC63" s="177" t="n">
        <f aca="false">AC$3*$E63</f>
        <v>13.6446060299246</v>
      </c>
      <c r="AD63" s="219" t="n">
        <f aca="false">Algae_electricity_factor/H63</f>
        <v>0.00200776851309591</v>
      </c>
      <c r="AE63" s="220" t="n">
        <f aca="false">Algae_electricity_factor/I63</f>
        <v>0.00200776851309591</v>
      </c>
      <c r="AF63" s="220" t="n">
        <f aca="false">Algae_electricity_factor/J63</f>
        <v>0.00200776851309591</v>
      </c>
      <c r="AG63" s="220" t="n">
        <f aca="false">Algae_electricity_factor/K63</f>
        <v>0.00200776851309591</v>
      </c>
      <c r="AH63" s="220" t="n">
        <f aca="false">Algae_electricity_factor/L63</f>
        <v>0.00200776851309591</v>
      </c>
      <c r="AI63" s="220" t="n">
        <f aca="false">Algae_electricity_factor/M63</f>
        <v>0.00191685976498266</v>
      </c>
      <c r="AJ63" s="220" t="n">
        <f aca="false">Algae_electricity_factor/N63</f>
        <v>0.00186620183810497</v>
      </c>
      <c r="AK63" s="220" t="n">
        <f aca="false">Algae_electricity_factor/O63</f>
        <v>0.00179392715439697</v>
      </c>
      <c r="AL63" s="220" t="n">
        <f aca="false">Algae_electricity_factor/P63</f>
        <v>0.00169800843492678</v>
      </c>
      <c r="AM63" s="220" t="n">
        <f aca="false">Algae_electricity_factor/Q63</f>
        <v>0.00158223892709582</v>
      </c>
      <c r="AN63" s="220" t="n">
        <f aca="false">Algae_electricity_factor/R63</f>
        <v>0.00145750216931716</v>
      </c>
      <c r="AO63" s="220" t="n">
        <f aca="false">Algae_electricity_factor/S63</f>
        <v>0.00133851234206394</v>
      </c>
      <c r="AP63" s="220" t="n">
        <f aca="false">Algae_electricity_factor/T63</f>
        <v>0.00123748464721679</v>
      </c>
      <c r="AQ63" s="220" t="n">
        <f aca="false">Algae_electricity_factor/U63</f>
        <v>0.00115985012747801</v>
      </c>
      <c r="AR63" s="220" t="n">
        <f aca="false">Algae_electricity_factor/V63</f>
        <v>0.00110464167460173</v>
      </c>
      <c r="AS63" s="220" t="n">
        <f aca="false">Algae_electricity_factor/W63</f>
        <v>0.00106750937493722</v>
      </c>
      <c r="AT63" s="220" t="n">
        <f aca="false">Algae_electricity_factor/X63</f>
        <v>0.00104346181359858</v>
      </c>
      <c r="AU63" s="220" t="n">
        <f aca="false">Algae_electricity_factor/Y63</f>
        <v>0.00102826749853707</v>
      </c>
      <c r="AV63" s="220" t="n">
        <f aca="false">Algae_electricity_factor/Z63</f>
        <v>0.0010188161434936</v>
      </c>
      <c r="AW63" s="220" t="n">
        <f aca="false">Algae_electricity_factor/AA63</f>
        <v>0.00101299421991282</v>
      </c>
      <c r="AX63" s="220" t="n">
        <f aca="false">Algae_electricity_factor/AB63</f>
        <v>0.00100942952870873</v>
      </c>
      <c r="AY63" s="220" t="n">
        <f aca="false">Algae_electricity_factor/AC63</f>
        <v>0.00100725496019362</v>
      </c>
      <c r="AZ63" s="221" t="n">
        <f aca="false">Algae_yield_cost_factor/H63</f>
        <v>0.11114963884033</v>
      </c>
      <c r="BA63" s="197" t="n">
        <f aca="false">Algae_yield_cost_factor/I63</f>
        <v>0.11114963884033</v>
      </c>
      <c r="BB63" s="197" t="n">
        <f aca="false">Algae_yield_cost_factor/J63</f>
        <v>0.11114963884033</v>
      </c>
      <c r="BC63" s="197" t="n">
        <f aca="false">Algae_yield_cost_factor/K63</f>
        <v>0.11114963884033</v>
      </c>
      <c r="BD63" s="197" t="n">
        <f aca="false">Algae_yield_cost_factor/L63</f>
        <v>0.11114963884033</v>
      </c>
      <c r="BE63" s="197" t="n">
        <f aca="false">Algae_yield_cost_factor/M63</f>
        <v>0.106116949835444</v>
      </c>
      <c r="BF63" s="197" t="n">
        <f aca="false">Algae_yield_cost_factor/N63</f>
        <v>0.103312537753011</v>
      </c>
      <c r="BG63" s="197" t="n">
        <f aca="false">Algae_yield_cost_factor/O63</f>
        <v>0.0993114265994865</v>
      </c>
      <c r="BH63" s="197" t="n">
        <f aca="false">Algae_yield_cost_factor/P63</f>
        <v>0.0940013866433867</v>
      </c>
      <c r="BI63" s="197" t="n">
        <f aca="false">Algae_yield_cost_factor/Q63</f>
        <v>0.0875924112559342</v>
      </c>
      <c r="BJ63" s="197" t="n">
        <f aca="false">Algae_yield_cost_factor/R63</f>
        <v>0.0806870108142102</v>
      </c>
      <c r="BK63" s="197" t="n">
        <f aca="false">Algae_yield_cost_factor/S63</f>
        <v>0.0740997592268869</v>
      </c>
      <c r="BL63" s="197" t="n">
        <f aca="false">Algae_yield_cost_factor/T63</f>
        <v>0.0685068874780331</v>
      </c>
      <c r="BM63" s="197" t="n">
        <f aca="false">Algae_yield_cost_factor/U63</f>
        <v>0.0642090569391918</v>
      </c>
      <c r="BN63" s="197" t="n">
        <f aca="false">Algae_yield_cost_factor/V63</f>
        <v>0.0611527287030898</v>
      </c>
      <c r="BO63" s="197" t="n">
        <f aca="false">Algae_yield_cost_factor/W63</f>
        <v>0.0590970924730655</v>
      </c>
      <c r="BP63" s="197" t="n">
        <f aca="false">Algae_yield_cost_factor/X63</f>
        <v>0.0577658245802056</v>
      </c>
      <c r="BQ63" s="197" t="n">
        <f aca="false">Algae_yield_cost_factor/Y63</f>
        <v>0.0569246705226051</v>
      </c>
      <c r="BR63" s="197" t="n">
        <f aca="false">Algae_yield_cost_factor/Z63</f>
        <v>0.0564014455129581</v>
      </c>
      <c r="BS63" s="197" t="n">
        <f aca="false">Algae_yield_cost_factor/AA63</f>
        <v>0.0560791450589274</v>
      </c>
      <c r="BT63" s="197" t="n">
        <f aca="false">Algae_yield_cost_factor/AB63</f>
        <v>0.0558818045102895</v>
      </c>
      <c r="BU63" s="197" t="n">
        <f aca="false">Algae_yield_cost_factor/AC63</f>
        <v>0.0557614208587321</v>
      </c>
    </row>
    <row r="64" customFormat="false" ht="13.8" hidden="false" customHeight="false" outlineLevel="0" collapsed="false">
      <c r="A64" s="18" t="s">
        <v>699</v>
      </c>
      <c r="B64" s="18" t="s">
        <v>22</v>
      </c>
      <c r="C64" s="18" t="s">
        <v>684</v>
      </c>
      <c r="D64" s="18" t="s">
        <v>684</v>
      </c>
      <c r="E64" s="28" t="n">
        <v>6.457507</v>
      </c>
      <c r="F64" s="185" t="n">
        <f aca="false">E64/$B$2*$F$3/1000</f>
        <v>0.01582089215</v>
      </c>
      <c r="G64" s="18" t="n">
        <f aca="false">LOOKUP(RIGHT(D64,5),Ref!$C$4:$C$21,Ref!$E$4:$E$21)*$G$3</f>
        <v>3.5</v>
      </c>
      <c r="H64" s="218" t="n">
        <f aca="false">$E64</f>
        <v>6.457507</v>
      </c>
      <c r="I64" s="177" t="n">
        <f aca="false">$E64</f>
        <v>6.457507</v>
      </c>
      <c r="J64" s="177" t="n">
        <f aca="false">$E64</f>
        <v>6.457507</v>
      </c>
      <c r="K64" s="177" t="n">
        <f aca="false">$E64</f>
        <v>6.457507</v>
      </c>
      <c r="L64" s="177" t="n">
        <f aca="false">$E64</f>
        <v>6.457507</v>
      </c>
      <c r="M64" s="177" t="n">
        <f aca="false">M$3*$E64</f>
        <v>6.76375990802525</v>
      </c>
      <c r="N64" s="177" t="n">
        <f aca="false">N$3*$E64</f>
        <v>6.94736172849444</v>
      </c>
      <c r="O64" s="177" t="n">
        <f aca="false">O$3*$E64</f>
        <v>7.22726070337828</v>
      </c>
      <c r="P64" s="177" t="n">
        <f aca="false">P$3*$E64</f>
        <v>7.63552109695821</v>
      </c>
      <c r="Q64" s="177" t="n">
        <f aca="false">Q$3*$E64</f>
        <v>8.19419811108669</v>
      </c>
      <c r="R64" s="177" t="n">
        <f aca="false">R$3*$E64</f>
        <v>8.89547851154871</v>
      </c>
      <c r="S64" s="177" t="n">
        <f aca="false">S$3*$E64</f>
        <v>9.6862605</v>
      </c>
      <c r="T64" s="177" t="n">
        <f aca="false">T$3*$E64</f>
        <v>10.4770424884513</v>
      </c>
      <c r="U64" s="177" t="n">
        <f aca="false">U$3*$E64</f>
        <v>11.1783228889133</v>
      </c>
      <c r="V64" s="177" t="n">
        <f aca="false">V$3*$E64</f>
        <v>11.7369999030418</v>
      </c>
      <c r="W64" s="177" t="n">
        <f aca="false">W$3*$E64</f>
        <v>12.1452602966217</v>
      </c>
      <c r="X64" s="177" t="n">
        <f aca="false">X$3*$E64</f>
        <v>12.4251592715056</v>
      </c>
      <c r="Y64" s="177" t="n">
        <f aca="false">Y$3*$E64</f>
        <v>12.6087610919748</v>
      </c>
      <c r="Z64" s="177" t="n">
        <f aca="false">Z$3*$E64</f>
        <v>12.7257300647375</v>
      </c>
      <c r="AA64" s="177" t="n">
        <f aca="false">AA$3*$E64</f>
        <v>12.7988679232663</v>
      </c>
      <c r="AB64" s="177" t="n">
        <f aca="false">AB$3*$E64</f>
        <v>12.8440657410543</v>
      </c>
      <c r="AC64" s="177" t="n">
        <f aca="false">AC$3*$E64</f>
        <v>12.8717948683065</v>
      </c>
      <c r="AD64" s="219" t="n">
        <f aca="false">Algae_electricity_factor/H64</f>
        <v>0.00212831315607234</v>
      </c>
      <c r="AE64" s="220" t="n">
        <f aca="false">Algae_electricity_factor/I64</f>
        <v>0.00212831315607234</v>
      </c>
      <c r="AF64" s="220" t="n">
        <f aca="false">Algae_electricity_factor/J64</f>
        <v>0.00212831315607234</v>
      </c>
      <c r="AG64" s="220" t="n">
        <f aca="false">Algae_electricity_factor/K64</f>
        <v>0.00212831315607234</v>
      </c>
      <c r="AH64" s="220" t="n">
        <f aca="false">Algae_electricity_factor/L64</f>
        <v>0.00212831315607234</v>
      </c>
      <c r="AI64" s="220" t="n">
        <f aca="false">Algae_electricity_factor/M64</f>
        <v>0.00203194632725245</v>
      </c>
      <c r="AJ64" s="220" t="n">
        <f aca="false">Algae_electricity_factor/N64</f>
        <v>0.00197824694331954</v>
      </c>
      <c r="AK64" s="220" t="n">
        <f aca="false">Algae_electricity_factor/O64</f>
        <v>0.00190163295162509</v>
      </c>
      <c r="AL64" s="220" t="n">
        <f aca="false">Algae_electricity_factor/P64</f>
        <v>0.00179995535720599</v>
      </c>
      <c r="AM64" s="220" t="n">
        <f aca="false">Algae_electricity_factor/Q64</f>
        <v>0.00167723515067744</v>
      </c>
      <c r="AN64" s="220" t="n">
        <f aca="false">Algae_electricity_factor/R64</f>
        <v>0.00154500930845782</v>
      </c>
      <c r="AO64" s="220" t="n">
        <f aca="false">Algae_electricity_factor/S64</f>
        <v>0.00141887543738156</v>
      </c>
      <c r="AP64" s="220" t="n">
        <f aca="false">Algae_electricity_factor/T64</f>
        <v>0.00131178212922957</v>
      </c>
      <c r="AQ64" s="220" t="n">
        <f aca="false">Algae_electricity_factor/U64</f>
        <v>0.00122948650169698</v>
      </c>
      <c r="AR64" s="220" t="n">
        <f aca="false">Algae_electricity_factor/V64</f>
        <v>0.00117096338221554</v>
      </c>
      <c r="AS64" s="220" t="n">
        <f aca="false">Algae_electricity_factor/W64</f>
        <v>0.00113160169217222</v>
      </c>
      <c r="AT64" s="220" t="n">
        <f aca="false">Algae_electricity_factor/X64</f>
        <v>0.00110611033655297</v>
      </c>
      <c r="AU64" s="220" t="n">
        <f aca="false">Algae_electricity_factor/Y64</f>
        <v>0.00109000376827481</v>
      </c>
      <c r="AV64" s="220" t="n">
        <f aca="false">Algae_electricity_factor/Z64</f>
        <v>0.00107998496224686</v>
      </c>
      <c r="AW64" s="220" t="n">
        <f aca="false">Algae_electricity_factor/AA64</f>
        <v>0.00107381349553155</v>
      </c>
      <c r="AX64" s="220" t="n">
        <f aca="false">Algae_electricity_factor/AB64</f>
        <v>0.00107003478342529</v>
      </c>
      <c r="AY64" s="220" t="n">
        <f aca="false">Algae_electricity_factor/AC64</f>
        <v>0.00106772965574283</v>
      </c>
      <c r="AZ64" s="221" t="n">
        <f aca="false">Algae_yield_cost_factor/H64</f>
        <v>0.117822964696162</v>
      </c>
      <c r="BA64" s="197" t="n">
        <f aca="false">Algae_yield_cost_factor/I64</f>
        <v>0.117822964696162</v>
      </c>
      <c r="BB64" s="197" t="n">
        <f aca="false">Algae_yield_cost_factor/J64</f>
        <v>0.117822964696162</v>
      </c>
      <c r="BC64" s="197" t="n">
        <f aca="false">Algae_yield_cost_factor/K64</f>
        <v>0.117822964696162</v>
      </c>
      <c r="BD64" s="197" t="n">
        <f aca="false">Algae_yield_cost_factor/L64</f>
        <v>0.117822964696162</v>
      </c>
      <c r="BE64" s="197" t="n">
        <f aca="false">Algae_yield_cost_factor/M64</f>
        <v>0.11248811750155</v>
      </c>
      <c r="BF64" s="197" t="n">
        <f aca="false">Algae_yield_cost_factor/N64</f>
        <v>0.109515331001931</v>
      </c>
      <c r="BG64" s="197" t="n">
        <f aca="false">Algae_yield_cost_factor/O64</f>
        <v>0.10527399667907</v>
      </c>
      <c r="BH64" s="197" t="n">
        <f aca="false">Algae_yield_cost_factor/P64</f>
        <v>0.0996451466278205</v>
      </c>
      <c r="BI64" s="197" t="n">
        <f aca="false">Algae_yield_cost_factor/Q64</f>
        <v>0.0928513820353944</v>
      </c>
      <c r="BJ64" s="197" t="n">
        <f aca="false">Algae_yield_cost_factor/R64</f>
        <v>0.0855313874681886</v>
      </c>
      <c r="BK64" s="197" t="n">
        <f aca="false">Algae_yield_cost_factor/S64</f>
        <v>0.0785486431307746</v>
      </c>
      <c r="BL64" s="197" t="n">
        <f aca="false">Algae_yield_cost_factor/T64</f>
        <v>0.0726199803164762</v>
      </c>
      <c r="BM64" s="197" t="n">
        <f aca="false">Algae_yield_cost_factor/U64</f>
        <v>0.0680641118392477</v>
      </c>
      <c r="BN64" s="197" t="n">
        <f aca="false">Algae_yield_cost_factor/V64</f>
        <v>0.0648242843632499</v>
      </c>
      <c r="BO64" s="197" t="n">
        <f aca="false">Algae_yield_cost_factor/W64</f>
        <v>0.0626452295549278</v>
      </c>
      <c r="BP64" s="197" t="n">
        <f aca="false">Algae_yield_cost_factor/X64</f>
        <v>0.061234033517063</v>
      </c>
      <c r="BQ64" s="197" t="n">
        <f aca="false">Algae_yield_cost_factor/Y64</f>
        <v>0.0603423773149672</v>
      </c>
      <c r="BR64" s="197" t="n">
        <f aca="false">Algae_yield_cost_factor/Z64</f>
        <v>0.0597877383392315</v>
      </c>
      <c r="BS64" s="197" t="n">
        <f aca="false">Algae_yield_cost_factor/AA64</f>
        <v>0.0594460872514456</v>
      </c>
      <c r="BT64" s="197" t="n">
        <f aca="false">Algae_yield_cost_factor/AB64</f>
        <v>0.0592368985510784</v>
      </c>
      <c r="BU64" s="197" t="n">
        <f aca="false">Algae_yield_cost_factor/AC64</f>
        <v>0.0591092871717214</v>
      </c>
    </row>
    <row r="65" customFormat="false" ht="13.8" hidden="false" customHeight="false" outlineLevel="0" collapsed="false">
      <c r="A65" s="18" t="s">
        <v>699</v>
      </c>
      <c r="B65" s="18" t="s">
        <v>22</v>
      </c>
      <c r="C65" s="18" t="s">
        <v>685</v>
      </c>
      <c r="D65" s="18" t="s">
        <v>685</v>
      </c>
      <c r="E65" s="28" t="n">
        <v>6.365527</v>
      </c>
      <c r="F65" s="185" t="n">
        <f aca="false">E65/$B$2*$F$3/1000</f>
        <v>0.01559554115</v>
      </c>
      <c r="G65" s="18" t="n">
        <f aca="false">LOOKUP(RIGHT(D65,5),Ref!$C$4:$C$21,Ref!$E$4:$E$21)*$G$3</f>
        <v>4</v>
      </c>
      <c r="H65" s="218" t="n">
        <f aca="false">$E65</f>
        <v>6.365527</v>
      </c>
      <c r="I65" s="177" t="n">
        <f aca="false">$E65</f>
        <v>6.365527</v>
      </c>
      <c r="J65" s="177" t="n">
        <f aca="false">$E65</f>
        <v>6.365527</v>
      </c>
      <c r="K65" s="177" t="n">
        <f aca="false">$E65</f>
        <v>6.365527</v>
      </c>
      <c r="L65" s="177" t="n">
        <f aca="false">$E65</f>
        <v>6.365527</v>
      </c>
      <c r="M65" s="177" t="n">
        <f aca="false">M$3*$E65</f>
        <v>6.66741767621038</v>
      </c>
      <c r="N65" s="177" t="n">
        <f aca="false">N$3*$E65</f>
        <v>6.84840429309609</v>
      </c>
      <c r="O65" s="177" t="n">
        <f aca="false">O$3*$E65</f>
        <v>7.12431641861068</v>
      </c>
      <c r="P65" s="177" t="n">
        <f aca="false">P$3*$E65</f>
        <v>7.5267615972785</v>
      </c>
      <c r="Q65" s="177" t="n">
        <f aca="false">Q$3*$E65</f>
        <v>8.07748087914908</v>
      </c>
      <c r="R65" s="177" t="n">
        <f aca="false">R$3*$E65</f>
        <v>8.76877232083265</v>
      </c>
      <c r="S65" s="177" t="n">
        <f aca="false">S$3*$E65</f>
        <v>9.5482905</v>
      </c>
      <c r="T65" s="177" t="n">
        <f aca="false">T$3*$E65</f>
        <v>10.3278086791673</v>
      </c>
      <c r="U65" s="177" t="n">
        <f aca="false">U$3*$E65</f>
        <v>11.0191001208509</v>
      </c>
      <c r="V65" s="177" t="n">
        <f aca="false">V$3*$E65</f>
        <v>11.5698194027215</v>
      </c>
      <c r="W65" s="177" t="n">
        <f aca="false">W$3*$E65</f>
        <v>11.9722645813893</v>
      </c>
      <c r="X65" s="177" t="n">
        <f aca="false">X$3*$E65</f>
        <v>12.2481767069039</v>
      </c>
      <c r="Y65" s="177" t="n">
        <f aca="false">Y$3*$E65</f>
        <v>12.4291633237896</v>
      </c>
      <c r="Z65" s="177" t="n">
        <f aca="false">Z$3*$E65</f>
        <v>12.544466203722</v>
      </c>
      <c r="AA65" s="177" t="n">
        <f aca="false">AA$3*$E65</f>
        <v>12.6165622948586</v>
      </c>
      <c r="AB65" s="177" t="n">
        <f aca="false">AB$3*$E65</f>
        <v>12.6611163200375</v>
      </c>
      <c r="AC65" s="177" t="n">
        <f aca="false">AC$3*$E65</f>
        <v>12.6884504767345</v>
      </c>
      <c r="AD65" s="219" t="n">
        <f aca="false">Algae_electricity_factor/H65</f>
        <v>0.00215906665756492</v>
      </c>
      <c r="AE65" s="220" t="n">
        <f aca="false">Algae_electricity_factor/I65</f>
        <v>0.00215906665756492</v>
      </c>
      <c r="AF65" s="220" t="n">
        <f aca="false">Algae_electricity_factor/J65</f>
        <v>0.00215906665756492</v>
      </c>
      <c r="AG65" s="220" t="n">
        <f aca="false">Algae_electricity_factor/K65</f>
        <v>0.00215906665756492</v>
      </c>
      <c r="AH65" s="220" t="n">
        <f aca="false">Algae_electricity_factor/L65</f>
        <v>0.00215906665756492</v>
      </c>
      <c r="AI65" s="220" t="n">
        <f aca="false">Algae_electricity_factor/M65</f>
        <v>0.00206130735630482</v>
      </c>
      <c r="AJ65" s="220" t="n">
        <f aca="false">Algae_electricity_factor/N65</f>
        <v>0.00200683203200843</v>
      </c>
      <c r="AK65" s="220" t="n">
        <f aca="false">Algae_electricity_factor/O65</f>
        <v>0.0019291109905825</v>
      </c>
      <c r="AL65" s="220" t="n">
        <f aca="false">Algae_electricity_factor/P65</f>
        <v>0.00182596418471639</v>
      </c>
      <c r="AM65" s="220" t="n">
        <f aca="false">Algae_electricity_factor/Q65</f>
        <v>0.0017014707071615</v>
      </c>
      <c r="AN65" s="220" t="n">
        <f aca="false">Algae_electricity_factor/R65</f>
        <v>0.00156733424026503</v>
      </c>
      <c r="AO65" s="220" t="n">
        <f aca="false">Algae_electricity_factor/S65</f>
        <v>0.00143937777170995</v>
      </c>
      <c r="AP65" s="220" t="n">
        <f aca="false">Algae_electricity_factor/T65</f>
        <v>0.00133073699663434</v>
      </c>
      <c r="AQ65" s="220" t="n">
        <f aca="false">Algae_electricity_factor/U65</f>
        <v>0.00124725222139718</v>
      </c>
      <c r="AR65" s="220" t="n">
        <f aca="false">Algae_electricity_factor/V65</f>
        <v>0.00118788345998698</v>
      </c>
      <c r="AS65" s="220" t="n">
        <f aca="false">Algae_electricity_factor/W65</f>
        <v>0.00114795300505582</v>
      </c>
      <c r="AT65" s="220" t="n">
        <f aca="false">Algae_electricity_factor/X65</f>
        <v>0.00112209330681704</v>
      </c>
      <c r="AU65" s="220" t="n">
        <f aca="false">Algae_electricity_factor/Y65</f>
        <v>0.00110575400334661</v>
      </c>
      <c r="AV65" s="220" t="n">
        <f aca="false">Algae_electricity_factor/Z65</f>
        <v>0.00109559042850715</v>
      </c>
      <c r="AW65" s="220" t="n">
        <f aca="false">Algae_electricity_factor/AA65</f>
        <v>0.00108932978590609</v>
      </c>
      <c r="AX65" s="220" t="n">
        <f aca="false">Algae_electricity_factor/AB65</f>
        <v>0.00108549647251709</v>
      </c>
      <c r="AY65" s="220" t="n">
        <f aca="false">Algae_electricity_factor/AC65</f>
        <v>0.00108315803641504</v>
      </c>
      <c r="AZ65" s="221" t="n">
        <f aca="false">Algae_yield_cost_factor/H65</f>
        <v>0.119525472012956</v>
      </c>
      <c r="BA65" s="197" t="n">
        <f aca="false">Algae_yield_cost_factor/I65</f>
        <v>0.119525472012956</v>
      </c>
      <c r="BB65" s="197" t="n">
        <f aca="false">Algae_yield_cost_factor/J65</f>
        <v>0.119525472012956</v>
      </c>
      <c r="BC65" s="197" t="n">
        <f aca="false">Algae_yield_cost_factor/K65</f>
        <v>0.119525472012956</v>
      </c>
      <c r="BD65" s="197" t="n">
        <f aca="false">Algae_yield_cost_factor/L65</f>
        <v>0.119525472012956</v>
      </c>
      <c r="BE65" s="197" t="n">
        <f aca="false">Algae_yield_cost_factor/M65</f>
        <v>0.114113537839535</v>
      </c>
      <c r="BF65" s="197" t="n">
        <f aca="false">Algae_yield_cost_factor/N65</f>
        <v>0.111097795446047</v>
      </c>
      <c r="BG65" s="197" t="n">
        <f aca="false">Algae_yield_cost_factor/O65</f>
        <v>0.106795175084965</v>
      </c>
      <c r="BH65" s="197" t="n">
        <f aca="false">Algae_yield_cost_factor/P65</f>
        <v>0.101084989799773</v>
      </c>
      <c r="BI65" s="197" t="n">
        <f aca="false">Algae_yield_cost_factor/Q65</f>
        <v>0.094193057299613</v>
      </c>
      <c r="BJ65" s="197" t="n">
        <f aca="false">Algae_yield_cost_factor/R65</f>
        <v>0.0867672909557276</v>
      </c>
      <c r="BK65" s="197" t="n">
        <f aca="false">Algae_yield_cost_factor/S65</f>
        <v>0.0796836480086375</v>
      </c>
      <c r="BL65" s="197" t="n">
        <f aca="false">Algae_yield_cost_factor/T65</f>
        <v>0.0736693177538179</v>
      </c>
      <c r="BM65" s="197" t="n">
        <f aca="false">Algae_yield_cost_factor/U65</f>
        <v>0.0690476183119991</v>
      </c>
      <c r="BN65" s="197" t="n">
        <f aca="false">Algae_yield_cost_factor/V65</f>
        <v>0.0657609762782684</v>
      </c>
      <c r="BO65" s="197" t="n">
        <f aca="false">Algae_yield_cost_factor/W65</f>
        <v>0.0635504347664464</v>
      </c>
      <c r="BP65" s="197" t="n">
        <f aca="false">Algae_yield_cost_factor/X65</f>
        <v>0.0621188473593261</v>
      </c>
      <c r="BQ65" s="197" t="n">
        <f aca="false">Algae_yield_cost_factor/Y65</f>
        <v>0.0612143069863723</v>
      </c>
      <c r="BR65" s="197" t="n">
        <f aca="false">Algae_yield_cost_factor/Z65</f>
        <v>0.060651653639951</v>
      </c>
      <c r="BS65" s="197" t="n">
        <f aca="false">Algae_yield_cost_factor/AA65</f>
        <v>0.0603050657940529</v>
      </c>
      <c r="BT65" s="197" t="n">
        <f aca="false">Algae_yield_cost_factor/AB65</f>
        <v>0.0600928543782594</v>
      </c>
      <c r="BU65" s="197" t="n">
        <f aca="false">Algae_yield_cost_factor/AC65</f>
        <v>0.0599633990518619</v>
      </c>
    </row>
    <row r="66" customFormat="false" ht="13.8" hidden="false" customHeight="false" outlineLevel="0" collapsed="false">
      <c r="A66" s="18" t="s">
        <v>699</v>
      </c>
      <c r="B66" s="18" t="s">
        <v>22</v>
      </c>
      <c r="C66" s="18" t="s">
        <v>686</v>
      </c>
      <c r="D66" s="18" t="s">
        <v>686</v>
      </c>
      <c r="E66" s="28" t="n">
        <v>6.2068615</v>
      </c>
      <c r="F66" s="185" t="n">
        <f aca="false">E66/$B$2*$F$3/1000</f>
        <v>0.015206810675</v>
      </c>
      <c r="G66" s="18" t="n">
        <f aca="false">LOOKUP(RIGHT(D66,5),Ref!$C$4:$C$21,Ref!$E$4:$E$21)*$G$3</f>
        <v>4.5</v>
      </c>
      <c r="H66" s="218" t="n">
        <f aca="false">$E66</f>
        <v>6.2068615</v>
      </c>
      <c r="I66" s="177" t="n">
        <f aca="false">$E66</f>
        <v>6.2068615</v>
      </c>
      <c r="J66" s="177" t="n">
        <f aca="false">$E66</f>
        <v>6.2068615</v>
      </c>
      <c r="K66" s="177" t="n">
        <f aca="false">$E66</f>
        <v>6.2068615</v>
      </c>
      <c r="L66" s="177" t="n">
        <f aca="false">$E66</f>
        <v>6.2068615</v>
      </c>
      <c r="M66" s="177" t="n">
        <f aca="false">M$3*$E66</f>
        <v>6.50122732632972</v>
      </c>
      <c r="N66" s="177" t="n">
        <f aca="false">N$3*$E66</f>
        <v>6.67770271703393</v>
      </c>
      <c r="O66" s="177" t="n">
        <f aca="false">O$3*$E66</f>
        <v>6.94673752738658</v>
      </c>
      <c r="P66" s="177" t="n">
        <f aca="false">P$3*$E66</f>
        <v>7.33915146033101</v>
      </c>
      <c r="Q66" s="177" t="n">
        <f aca="false">Q$3*$E66</f>
        <v>7.8761436540567</v>
      </c>
      <c r="R66" s="177" t="n">
        <f aca="false">R$3*$E66</f>
        <v>8.55020414184746</v>
      </c>
      <c r="S66" s="177" t="n">
        <f aca="false">S$3*$E66</f>
        <v>9.31029225</v>
      </c>
      <c r="T66" s="177" t="n">
        <f aca="false">T$3*$E66</f>
        <v>10.0703803581525</v>
      </c>
      <c r="U66" s="177" t="n">
        <f aca="false">U$3*$E66</f>
        <v>10.7444408459433</v>
      </c>
      <c r="V66" s="177" t="n">
        <f aca="false">V$3*$E66</f>
        <v>11.281433039669</v>
      </c>
      <c r="W66" s="177" t="n">
        <f aca="false">W$3*$E66</f>
        <v>11.6738469726134</v>
      </c>
      <c r="X66" s="177" t="n">
        <f aca="false">X$3*$E66</f>
        <v>11.9428817829661</v>
      </c>
      <c r="Y66" s="177" t="n">
        <f aca="false">Y$3*$E66</f>
        <v>12.1193571736703</v>
      </c>
      <c r="Z66" s="177" t="n">
        <f aca="false">Z$3*$E66</f>
        <v>12.2317860434703</v>
      </c>
      <c r="AA66" s="177" t="n">
        <f aca="false">AA$3*$E66</f>
        <v>12.3020850858554</v>
      </c>
      <c r="AB66" s="177" t="n">
        <f aca="false">AB$3*$E66</f>
        <v>12.3455285687835</v>
      </c>
      <c r="AC66" s="177" t="n">
        <f aca="false">AC$3*$E66</f>
        <v>12.3721814012728</v>
      </c>
      <c r="AD66" s="219" t="n">
        <f aca="false">Algae_electricity_factor/H66</f>
        <v>0.00221425870442401</v>
      </c>
      <c r="AE66" s="220" t="n">
        <f aca="false">Algae_electricity_factor/I66</f>
        <v>0.00221425870442401</v>
      </c>
      <c r="AF66" s="220" t="n">
        <f aca="false">Algae_electricity_factor/J66</f>
        <v>0.00221425870442401</v>
      </c>
      <c r="AG66" s="220" t="n">
        <f aca="false">Algae_electricity_factor/K66</f>
        <v>0.00221425870442401</v>
      </c>
      <c r="AH66" s="220" t="n">
        <f aca="false">Algae_electricity_factor/L66</f>
        <v>0.00221425870442401</v>
      </c>
      <c r="AI66" s="220" t="n">
        <f aca="false">Algae_electricity_factor/M66</f>
        <v>0.00211400039002916</v>
      </c>
      <c r="AJ66" s="220" t="n">
        <f aca="false">Algae_electricity_factor/N66</f>
        <v>0.00205813251741069</v>
      </c>
      <c r="AK66" s="220" t="n">
        <f aca="false">Algae_electricity_factor/O66</f>
        <v>0.00197842469927026</v>
      </c>
      <c r="AL66" s="220" t="n">
        <f aca="false">Algae_electricity_factor/P66</f>
        <v>0.0018726411599236</v>
      </c>
      <c r="AM66" s="220" t="n">
        <f aca="false">Algae_electricity_factor/Q66</f>
        <v>0.00174496526564119</v>
      </c>
      <c r="AN66" s="220" t="n">
        <f aca="false">Algae_electricity_factor/R66</f>
        <v>0.00160739987905829</v>
      </c>
      <c r="AO66" s="220" t="n">
        <f aca="false">Algae_electricity_factor/S66</f>
        <v>0.00147617246961601</v>
      </c>
      <c r="AP66" s="220" t="n">
        <f aca="false">Algae_electricity_factor/T66</f>
        <v>0.00136475451916799</v>
      </c>
      <c r="AQ66" s="220" t="n">
        <f aca="false">Algae_electricity_factor/U66</f>
        <v>0.0012791356293537</v>
      </c>
      <c r="AR66" s="220" t="n">
        <f aca="false">Algae_electricity_factor/V66</f>
        <v>0.00121824922908309</v>
      </c>
      <c r="AS66" s="220" t="n">
        <f aca="false">Algae_electricity_factor/W66</f>
        <v>0.00117729803515254</v>
      </c>
      <c r="AT66" s="220" t="n">
        <f aca="false">Algae_electricity_factor/X66</f>
        <v>0.00115077728753302</v>
      </c>
      <c r="AU66" s="220" t="n">
        <f aca="false">Algae_electricity_factor/Y66</f>
        <v>0.00113402030376559</v>
      </c>
      <c r="AV66" s="220" t="n">
        <f aca="false">Algae_electricity_factor/Z66</f>
        <v>0.0011235969182821</v>
      </c>
      <c r="AW66" s="220" t="n">
        <f aca="false">Algae_electricity_factor/AA66</f>
        <v>0.0011171762353791</v>
      </c>
      <c r="AX66" s="220" t="n">
        <f aca="false">Algae_electricity_factor/AB66</f>
        <v>0.00111324493130905</v>
      </c>
      <c r="AY66" s="220" t="n">
        <f aca="false">Algae_electricity_factor/AC66</f>
        <v>0.0011108467179535</v>
      </c>
      <c r="AZ66" s="221" t="n">
        <f aca="false">Algae_yield_cost_factor/H66</f>
        <v>0.122580892015428</v>
      </c>
      <c r="BA66" s="197" t="n">
        <f aca="false">Algae_yield_cost_factor/I66</f>
        <v>0.122580892015428</v>
      </c>
      <c r="BB66" s="197" t="n">
        <f aca="false">Algae_yield_cost_factor/J66</f>
        <v>0.122580892015428</v>
      </c>
      <c r="BC66" s="197" t="n">
        <f aca="false">Algae_yield_cost_factor/K66</f>
        <v>0.122580892015428</v>
      </c>
      <c r="BD66" s="197" t="n">
        <f aca="false">Algae_yield_cost_factor/L66</f>
        <v>0.122580892015428</v>
      </c>
      <c r="BE66" s="197" t="n">
        <f aca="false">Algae_yield_cost_factor/M66</f>
        <v>0.117030613005153</v>
      </c>
      <c r="BF66" s="197" t="n">
        <f aca="false">Algae_yield_cost_factor/N66</f>
        <v>0.113937779432051</v>
      </c>
      <c r="BG66" s="197" t="n">
        <f aca="false">Algae_yield_cost_factor/O66</f>
        <v>0.109525171533644</v>
      </c>
      <c r="BH66" s="197" t="n">
        <f aca="false">Algae_yield_cost_factor/P66</f>
        <v>0.103669017242479</v>
      </c>
      <c r="BI66" s="197" t="n">
        <f aca="false">Algae_yield_cost_factor/Q66</f>
        <v>0.0966009068275865</v>
      </c>
      <c r="BJ66" s="197" t="n">
        <f aca="false">Algae_yield_cost_factor/R66</f>
        <v>0.08898531621747</v>
      </c>
      <c r="BK66" s="197" t="n">
        <f aca="false">Algae_yield_cost_factor/S66</f>
        <v>0.081720594676952</v>
      </c>
      <c r="BL66" s="197" t="n">
        <f aca="false">Algae_yield_cost_factor/T66</f>
        <v>0.0755525205828271</v>
      </c>
      <c r="BM66" s="197" t="n">
        <f aca="false">Algae_yield_cost_factor/U66</f>
        <v>0.0708126770108734</v>
      </c>
      <c r="BN66" s="197" t="n">
        <f aca="false">Algae_yield_cost_factor/V66</f>
        <v>0.0674420188118709</v>
      </c>
      <c r="BO66" s="197" t="n">
        <f aca="false">Algae_yield_cost_factor/W66</f>
        <v>0.0651749694056413</v>
      </c>
      <c r="BP66" s="197" t="n">
        <f aca="false">Algae_yield_cost_factor/X66</f>
        <v>0.0637067864450768</v>
      </c>
      <c r="BQ66" s="197" t="n">
        <f aca="false">Algae_yield_cost_factor/Y66</f>
        <v>0.0627791233795118</v>
      </c>
      <c r="BR66" s="197" t="n">
        <f aca="false">Algae_yield_cost_factor/Z66</f>
        <v>0.0622020869709685</v>
      </c>
      <c r="BS66" s="197" t="n">
        <f aca="false">Algae_yield_cost_factor/AA66</f>
        <v>0.0618466393279148</v>
      </c>
      <c r="BT66" s="197" t="n">
        <f aca="false">Algae_yield_cost_factor/AB66</f>
        <v>0.0616290031688122</v>
      </c>
      <c r="BU66" s="197" t="n">
        <f aca="false">Algae_yield_cost_factor/AC66</f>
        <v>0.0614962385863454</v>
      </c>
    </row>
    <row r="67" customFormat="false" ht="13.8" hidden="false" customHeight="false" outlineLevel="0" collapsed="false">
      <c r="A67" s="18" t="s">
        <v>699</v>
      </c>
      <c r="B67" s="18" t="s">
        <v>22</v>
      </c>
      <c r="C67" s="18" t="s">
        <v>687</v>
      </c>
      <c r="D67" s="18" t="s">
        <v>687</v>
      </c>
      <c r="E67" s="28" t="n">
        <v>6.464296</v>
      </c>
      <c r="F67" s="185" t="n">
        <f aca="false">E67/$B$2*$F$3/1000</f>
        <v>0.0158375252</v>
      </c>
      <c r="G67" s="18" t="n">
        <f aca="false">LOOKUP(RIGHT(D67,5),Ref!$C$4:$C$21,Ref!$E$4:$E$21)*$G$3</f>
        <v>4.5</v>
      </c>
      <c r="H67" s="218" t="n">
        <f aca="false">$E67</f>
        <v>6.464296</v>
      </c>
      <c r="I67" s="177" t="n">
        <f aca="false">$E67</f>
        <v>6.464296</v>
      </c>
      <c r="J67" s="177" t="n">
        <f aca="false">$E67</f>
        <v>6.464296</v>
      </c>
      <c r="K67" s="177" t="n">
        <f aca="false">$E67</f>
        <v>6.464296</v>
      </c>
      <c r="L67" s="177" t="n">
        <f aca="false">$E67</f>
        <v>6.464296</v>
      </c>
      <c r="M67" s="177" t="n">
        <f aca="false">M$3*$E67</f>
        <v>6.77087088227825</v>
      </c>
      <c r="N67" s="177" t="n">
        <f aca="false">N$3*$E67</f>
        <v>6.9546657296786</v>
      </c>
      <c r="O67" s="177" t="n">
        <f aca="false">O$3*$E67</f>
        <v>7.23485897201589</v>
      </c>
      <c r="P67" s="177" t="n">
        <f aca="false">P$3*$E67</f>
        <v>7.64354858383933</v>
      </c>
      <c r="Q67" s="177" t="n">
        <f aca="false">Q$3*$E67</f>
        <v>8.20281295439638</v>
      </c>
      <c r="R67" s="177" t="n">
        <f aca="false">R$3*$E67</f>
        <v>8.90483063514918</v>
      </c>
      <c r="S67" s="177" t="n">
        <f aca="false">S$3*$E67</f>
        <v>9.696444</v>
      </c>
      <c r="T67" s="177" t="n">
        <f aca="false">T$3*$E67</f>
        <v>10.4880573648508</v>
      </c>
      <c r="U67" s="177" t="n">
        <f aca="false">U$3*$E67</f>
        <v>11.1900750456036</v>
      </c>
      <c r="V67" s="177" t="n">
        <f aca="false">V$3*$E67</f>
        <v>11.7493394161607</v>
      </c>
      <c r="W67" s="177" t="n">
        <f aca="false">W$3*$E67</f>
        <v>12.1580290279841</v>
      </c>
      <c r="X67" s="177" t="n">
        <f aca="false">X$3*$E67</f>
        <v>12.4382222703214</v>
      </c>
      <c r="Y67" s="177" t="n">
        <f aca="false">Y$3*$E67</f>
        <v>12.6220171177217</v>
      </c>
      <c r="Z67" s="177" t="n">
        <f aca="false">Z$3*$E67</f>
        <v>12.7391090640029</v>
      </c>
      <c r="AA67" s="177" t="n">
        <f aca="false">AA$3*$E67</f>
        <v>12.8123238148869</v>
      </c>
      <c r="AB67" s="177" t="n">
        <f aca="false">AB$3*$E67</f>
        <v>12.8575691507008</v>
      </c>
      <c r="AC67" s="177" t="n">
        <f aca="false">AC$3*$E67</f>
        <v>12.8853274305415</v>
      </c>
      <c r="AD67" s="219" t="n">
        <f aca="false">Algae_electricity_factor/H67</f>
        <v>0.00212607793695234</v>
      </c>
      <c r="AE67" s="220" t="n">
        <f aca="false">Algae_electricity_factor/I67</f>
        <v>0.00212607793695234</v>
      </c>
      <c r="AF67" s="220" t="n">
        <f aca="false">Algae_electricity_factor/J67</f>
        <v>0.00212607793695234</v>
      </c>
      <c r="AG67" s="220" t="n">
        <f aca="false">Algae_electricity_factor/K67</f>
        <v>0.00212607793695234</v>
      </c>
      <c r="AH67" s="220" t="n">
        <f aca="false">Algae_electricity_factor/L67</f>
        <v>0.00212607793695234</v>
      </c>
      <c r="AI67" s="220" t="n">
        <f aca="false">Algae_electricity_factor/M67</f>
        <v>0.00202981231550303</v>
      </c>
      <c r="AJ67" s="220" t="n">
        <f aca="false">Algae_electricity_factor/N67</f>
        <v>0.00197616932829414</v>
      </c>
      <c r="AK67" s="220" t="n">
        <f aca="false">Algae_electricity_factor/O67</f>
        <v>0.00189963579894078</v>
      </c>
      <c r="AL67" s="220" t="n">
        <f aca="false">Algae_electricity_factor/P67</f>
        <v>0.0017980649894196</v>
      </c>
      <c r="AM67" s="220" t="n">
        <f aca="false">Algae_electricity_factor/Q67</f>
        <v>0.00167547366737934</v>
      </c>
      <c r="AN67" s="220" t="n">
        <f aca="false">Algae_electricity_factor/R67</f>
        <v>0.00154338669275533</v>
      </c>
      <c r="AO67" s="220" t="n">
        <f aca="false">Algae_electricity_factor/S67</f>
        <v>0.00141738529130156</v>
      </c>
      <c r="AP67" s="220" t="n">
        <f aca="false">Algae_electricity_factor/T67</f>
        <v>0.00131040445579454</v>
      </c>
      <c r="AQ67" s="220" t="n">
        <f aca="false">Algae_electricity_factor/U67</f>
        <v>0.00122819525762956</v>
      </c>
      <c r="AR67" s="220" t="n">
        <f aca="false">Algae_electricity_factor/V67</f>
        <v>0.00116973360090573</v>
      </c>
      <c r="AS67" s="220" t="n">
        <f aca="false">Algae_electricity_factor/W67</f>
        <v>0.00113041324970484</v>
      </c>
      <c r="AT67" s="220" t="n">
        <f aca="false">Algae_electricity_factor/X67</f>
        <v>0.00110494866588151</v>
      </c>
      <c r="AU67" s="220" t="n">
        <f aca="false">Algae_electricity_factor/Y67</f>
        <v>0.00108885901321056</v>
      </c>
      <c r="AV67" s="220" t="n">
        <f aca="false">Algae_electricity_factor/Z67</f>
        <v>0.001078850729237</v>
      </c>
      <c r="AW67" s="220" t="n">
        <f aca="false">Algae_electricity_factor/AA67</f>
        <v>0.00107268574398348</v>
      </c>
      <c r="AX67" s="220" t="n">
        <f aca="false">Algae_electricity_factor/AB67</f>
        <v>0.00106891100039545</v>
      </c>
      <c r="AY67" s="220" t="n">
        <f aca="false">Algae_electricity_factor/AC67</f>
        <v>0.0010666082936281</v>
      </c>
      <c r="AZ67" s="221" t="n">
        <f aca="false">Algae_yield_cost_factor/H67</f>
        <v>0.117699223439988</v>
      </c>
      <c r="BA67" s="197" t="n">
        <f aca="false">Algae_yield_cost_factor/I67</f>
        <v>0.117699223439988</v>
      </c>
      <c r="BB67" s="197" t="n">
        <f aca="false">Algae_yield_cost_factor/J67</f>
        <v>0.117699223439988</v>
      </c>
      <c r="BC67" s="197" t="n">
        <f aca="false">Algae_yield_cost_factor/K67</f>
        <v>0.117699223439988</v>
      </c>
      <c r="BD67" s="197" t="n">
        <f aca="false">Algae_yield_cost_factor/L67</f>
        <v>0.117699223439988</v>
      </c>
      <c r="BE67" s="197" t="n">
        <f aca="false">Algae_yield_cost_factor/M67</f>
        <v>0.112369979063936</v>
      </c>
      <c r="BF67" s="197" t="n">
        <f aca="false">Algae_yield_cost_factor/N67</f>
        <v>0.109400314674991</v>
      </c>
      <c r="BG67" s="197" t="n">
        <f aca="false">Algae_yield_cost_factor/O67</f>
        <v>0.105163434730258</v>
      </c>
      <c r="BH67" s="197" t="n">
        <f aca="false">Algae_yield_cost_factor/P67</f>
        <v>0.0995404962682985</v>
      </c>
      <c r="BI67" s="197" t="n">
        <f aca="false">Algae_yield_cost_factor/Q67</f>
        <v>0.0927538666937952</v>
      </c>
      <c r="BJ67" s="197" t="n">
        <f aca="false">Algae_yield_cost_factor/R67</f>
        <v>0.0854415598072149</v>
      </c>
      <c r="BK67" s="197" t="n">
        <f aca="false">Algae_yield_cost_factor/S67</f>
        <v>0.0784661489599917</v>
      </c>
      <c r="BL67" s="197" t="n">
        <f aca="false">Algae_yield_cost_factor/T67</f>
        <v>0.0725437126074529</v>
      </c>
      <c r="BM67" s="197" t="n">
        <f aca="false">Algae_yield_cost_factor/U67</f>
        <v>0.0679926288416751</v>
      </c>
      <c r="BN67" s="197" t="n">
        <f aca="false">Algae_yield_cost_factor/V67</f>
        <v>0.0647562039308963</v>
      </c>
      <c r="BO67" s="197" t="n">
        <f aca="false">Algae_yield_cost_factor/W67</f>
        <v>0.0625794376321185</v>
      </c>
      <c r="BP67" s="197" t="n">
        <f aca="false">Algae_yield_cost_factor/X67</f>
        <v>0.0611697236751951</v>
      </c>
      <c r="BQ67" s="197" t="n">
        <f aca="false">Algae_yield_cost_factor/Y67</f>
        <v>0.0602790039175251</v>
      </c>
      <c r="BR67" s="197" t="n">
        <f aca="false">Algae_yield_cost_factor/Z67</f>
        <v>0.0597249474404879</v>
      </c>
      <c r="BS67" s="197" t="n">
        <f aca="false">Algae_yield_cost_factor/AA67</f>
        <v>0.0593836551650513</v>
      </c>
      <c r="BT67" s="197" t="n">
        <f aca="false">Algae_yield_cost_factor/AB67</f>
        <v>0.059174686161011</v>
      </c>
      <c r="BU67" s="197" t="n">
        <f aca="false">Algae_yield_cost_factor/AC67</f>
        <v>0.0590472088030006</v>
      </c>
    </row>
    <row r="68" customFormat="false" ht="13.8" hidden="false" customHeight="false" outlineLevel="0" collapsed="false">
      <c r="A68" s="18" t="s">
        <v>699</v>
      </c>
      <c r="B68" s="18" t="s">
        <v>22</v>
      </c>
      <c r="C68" s="18" t="s">
        <v>688</v>
      </c>
      <c r="D68" s="18" t="s">
        <v>688</v>
      </c>
      <c r="E68" s="28" t="n">
        <v>6.62694</v>
      </c>
      <c r="F68" s="185" t="n">
        <f aca="false">E68/$B$2*$F$3/1000</f>
        <v>0.016236003</v>
      </c>
      <c r="G68" s="18" t="n">
        <f aca="false">LOOKUP(RIGHT(D68,5),Ref!$C$4:$C$21,Ref!$E$4:$E$21)*$G$3</f>
        <v>4.5</v>
      </c>
      <c r="H68" s="218" t="n">
        <f aca="false">$E68</f>
        <v>6.62694</v>
      </c>
      <c r="I68" s="177" t="n">
        <f aca="false">$E68</f>
        <v>6.62694</v>
      </c>
      <c r="J68" s="177" t="n">
        <f aca="false">$E68</f>
        <v>6.62694</v>
      </c>
      <c r="K68" s="177" t="n">
        <f aca="false">$E68</f>
        <v>6.62694</v>
      </c>
      <c r="L68" s="177" t="n">
        <f aca="false">$E68</f>
        <v>6.62694</v>
      </c>
      <c r="M68" s="177" t="n">
        <f aca="false">M$3*$E68</f>
        <v>6.94122841599534</v>
      </c>
      <c r="N68" s="177" t="n">
        <f aca="false">N$3*$E68</f>
        <v>7.12964760750998</v>
      </c>
      <c r="O68" s="177" t="n">
        <f aca="false">O$3*$E68</f>
        <v>7.41689061206525</v>
      </c>
      <c r="P68" s="177" t="n">
        <f aca="false">P$3*$E68</f>
        <v>7.8358630007333</v>
      </c>
      <c r="Q68" s="177" t="n">
        <f aca="false">Q$3*$E68</f>
        <v>8.40919866293368</v>
      </c>
      <c r="R68" s="177" t="n">
        <f aca="false">R$3*$E68</f>
        <v>9.12887935968518</v>
      </c>
      <c r="S68" s="177" t="n">
        <f aca="false">S$3*$E68</f>
        <v>9.94041</v>
      </c>
      <c r="T68" s="177" t="n">
        <f aca="false">T$3*$E68</f>
        <v>10.7519406403148</v>
      </c>
      <c r="U68" s="177" t="n">
        <f aca="false">U$3*$E68</f>
        <v>11.4716213370663</v>
      </c>
      <c r="V68" s="177" t="n">
        <f aca="false">V$3*$E68</f>
        <v>12.0449569992667</v>
      </c>
      <c r="W68" s="177" t="n">
        <f aca="false">W$3*$E68</f>
        <v>12.4639293879347</v>
      </c>
      <c r="X68" s="177" t="n">
        <f aca="false">X$3*$E68</f>
        <v>12.75117239249</v>
      </c>
      <c r="Y68" s="177" t="n">
        <f aca="false">Y$3*$E68</f>
        <v>12.9395915840047</v>
      </c>
      <c r="Z68" s="177" t="n">
        <f aca="false">Z$3*$E68</f>
        <v>13.0596296055446</v>
      </c>
      <c r="AA68" s="177" t="n">
        <f aca="false">AA$3*$E68</f>
        <v>13.1346864657538</v>
      </c>
      <c r="AB68" s="177" t="n">
        <f aca="false">AB$3*$E68</f>
        <v>13.1810701904036</v>
      </c>
      <c r="AC68" s="177" t="n">
        <f aca="false">AC$3*$E68</f>
        <v>13.2095268784958</v>
      </c>
      <c r="AD68" s="219" t="n">
        <f aca="false">Algae_electricity_factor/H68</f>
        <v>0.00207389792325406</v>
      </c>
      <c r="AE68" s="220" t="n">
        <f aca="false">Algae_electricity_factor/I68</f>
        <v>0.00207389792325406</v>
      </c>
      <c r="AF68" s="220" t="n">
        <f aca="false">Algae_electricity_factor/J68</f>
        <v>0.00207389792325406</v>
      </c>
      <c r="AG68" s="220" t="n">
        <f aca="false">Algae_electricity_factor/K68</f>
        <v>0.00207389792325406</v>
      </c>
      <c r="AH68" s="220" t="n">
        <f aca="false">Algae_electricity_factor/L68</f>
        <v>0.00207389792325406</v>
      </c>
      <c r="AI68" s="220" t="n">
        <f aca="false">Algae_electricity_factor/M68</f>
        <v>0.00197999493459379</v>
      </c>
      <c r="AJ68" s="220" t="n">
        <f aca="false">Algae_electricity_factor/N68</f>
        <v>0.00192766849921902</v>
      </c>
      <c r="AK68" s="220" t="n">
        <f aca="false">Algae_electricity_factor/O68</f>
        <v>0.00185301332086147</v>
      </c>
      <c r="AL68" s="220" t="n">
        <f aca="false">Algae_electricity_factor/P68</f>
        <v>0.00175393534856889</v>
      </c>
      <c r="AM68" s="220" t="n">
        <f aca="false">Algae_electricity_factor/Q68</f>
        <v>0.00163435276706076</v>
      </c>
      <c r="AN68" s="220" t="n">
        <f aca="false">Algae_electricity_factor/R68</f>
        <v>0.00150550758335394</v>
      </c>
      <c r="AO68" s="220" t="n">
        <f aca="false">Algae_electricity_factor/S68</f>
        <v>0.00138259861550271</v>
      </c>
      <c r="AP68" s="220" t="n">
        <f aca="false">Algae_electricity_factor/T68</f>
        <v>0.00127824339468515</v>
      </c>
      <c r="AQ68" s="220" t="n">
        <f aca="false">Algae_electricity_factor/U68</f>
        <v>0.00119805184460909</v>
      </c>
      <c r="AR68" s="220" t="n">
        <f aca="false">Algae_electricity_factor/V68</f>
        <v>0.00114102500360657</v>
      </c>
      <c r="AS68" s="220" t="n">
        <f aca="false">Algae_electricity_factor/W68</f>
        <v>0.0011026696859205</v>
      </c>
      <c r="AT68" s="220" t="n">
        <f aca="false">Algae_electricity_factor/X68</f>
        <v>0.00107783007557985</v>
      </c>
      <c r="AU68" s="220" t="n">
        <f aca="false">Algae_electricity_factor/Y68</f>
        <v>0.00106213530885461</v>
      </c>
      <c r="AV68" s="220" t="n">
        <f aca="false">Algae_electricity_factor/Z68</f>
        <v>0.00105237265670186</v>
      </c>
      <c r="AW68" s="220" t="n">
        <f aca="false">Algae_electricity_factor/AA68</f>
        <v>0.0010463589777619</v>
      </c>
      <c r="AX68" s="220" t="n">
        <f aca="false">Algae_electricity_factor/AB68</f>
        <v>0.00104267687714274</v>
      </c>
      <c r="AY68" s="220" t="n">
        <f aca="false">Algae_electricity_factor/AC68</f>
        <v>0.00104043068536413</v>
      </c>
      <c r="AZ68" s="221" t="n">
        <f aca="false">Algae_yield_cost_factor/H68</f>
        <v>0.11481054895415</v>
      </c>
      <c r="BA68" s="197" t="n">
        <f aca="false">Algae_yield_cost_factor/I68</f>
        <v>0.11481054895415</v>
      </c>
      <c r="BB68" s="197" t="n">
        <f aca="false">Algae_yield_cost_factor/J68</f>
        <v>0.11481054895415</v>
      </c>
      <c r="BC68" s="197" t="n">
        <f aca="false">Algae_yield_cost_factor/K68</f>
        <v>0.11481054895415</v>
      </c>
      <c r="BD68" s="197" t="n">
        <f aca="false">Algae_yield_cost_factor/L68</f>
        <v>0.11481054895415</v>
      </c>
      <c r="BE68" s="197" t="n">
        <f aca="false">Algae_yield_cost_factor/M68</f>
        <v>0.109612099427953</v>
      </c>
      <c r="BF68" s="197" t="n">
        <f aca="false">Algae_yield_cost_factor/N68</f>
        <v>0.106715319069176</v>
      </c>
      <c r="BG68" s="197" t="n">
        <f aca="false">Algae_yield_cost_factor/O68</f>
        <v>0.102582424236989</v>
      </c>
      <c r="BH68" s="197" t="n">
        <f aca="false">Algae_yield_cost_factor/P68</f>
        <v>0.0970974887150294</v>
      </c>
      <c r="BI68" s="197" t="n">
        <f aca="false">Algae_yield_cost_factor/Q68</f>
        <v>0.0904774223779352</v>
      </c>
      <c r="BJ68" s="197" t="n">
        <f aca="false">Algae_yield_cost_factor/R68</f>
        <v>0.0833445803486285</v>
      </c>
      <c r="BK68" s="197" t="n">
        <f aca="false">Algae_yield_cost_factor/S68</f>
        <v>0.0765403659694336</v>
      </c>
      <c r="BL68" s="197" t="n">
        <f aca="false">Algae_yield_cost_factor/T68</f>
        <v>0.0707632830889532</v>
      </c>
      <c r="BM68" s="197" t="n">
        <f aca="false">Algae_yield_cost_factor/U68</f>
        <v>0.0663238958932365</v>
      </c>
      <c r="BN68" s="197" t="n">
        <f aca="false">Algae_yield_cost_factor/V68</f>
        <v>0.0631669020763244</v>
      </c>
      <c r="BO68" s="197" t="n">
        <f aca="false">Algae_yield_cost_factor/W68</f>
        <v>0.0610435598281489</v>
      </c>
      <c r="BP68" s="197" t="n">
        <f aca="false">Algae_yield_cost_factor/X68</f>
        <v>0.0596684442706089</v>
      </c>
      <c r="BQ68" s="197" t="n">
        <f aca="false">Algae_yield_cost_factor/Y68</f>
        <v>0.0587995853150989</v>
      </c>
      <c r="BR68" s="197" t="n">
        <f aca="false">Algae_yield_cost_factor/Z68</f>
        <v>0.0582591269635391</v>
      </c>
      <c r="BS68" s="197" t="n">
        <f aca="false">Algae_yield_cost_factor/AA68</f>
        <v>0.0579262109735142</v>
      </c>
      <c r="BT68" s="197" t="n">
        <f aca="false">Algae_yield_cost_factor/AB68</f>
        <v>0.057722370664572</v>
      </c>
      <c r="BU68" s="197" t="n">
        <f aca="false">Algae_yield_cost_factor/AC68</f>
        <v>0.0575980219643458</v>
      </c>
    </row>
    <row r="69" customFormat="false" ht="15" hidden="false" customHeight="false" outlineLevel="0" collapsed="false">
      <c r="A69" s="18" t="s">
        <v>700</v>
      </c>
      <c r="B69" s="18" t="s">
        <v>22</v>
      </c>
      <c r="C69" s="18" t="s">
        <v>690</v>
      </c>
      <c r="D69" s="18" t="s">
        <v>690</v>
      </c>
      <c r="E69" s="28" t="n">
        <v>5.4502895</v>
      </c>
      <c r="F69" s="185" t="n">
        <f aca="false">E69/$B$2*$F$3/1000</f>
        <v>0.013353209275</v>
      </c>
      <c r="G69" s="18" t="n">
        <f aca="false">LOOKUP(RIGHT(D69,5),Ref!$C$4:$C$21,Ref!$E$4:$E$21)*$G$3</f>
        <v>1.5</v>
      </c>
      <c r="H69" s="218" t="n">
        <f aca="false">$E69</f>
        <v>5.4502895</v>
      </c>
      <c r="I69" s="177" t="n">
        <f aca="false">$E69</f>
        <v>5.4502895</v>
      </c>
      <c r="J69" s="177" t="n">
        <f aca="false">$E69</f>
        <v>5.4502895</v>
      </c>
      <c r="K69" s="177" t="n">
        <f aca="false">$E69</f>
        <v>5.4502895</v>
      </c>
      <c r="L69" s="177" t="n">
        <f aca="false">$E69</f>
        <v>5.4502895</v>
      </c>
      <c r="M69" s="177" t="n">
        <f aca="false">M$3*$E69</f>
        <v>5.70877423860802</v>
      </c>
      <c r="N69" s="177" t="n">
        <f aca="false">N$3*$E69</f>
        <v>5.86373854205889</v>
      </c>
      <c r="O69" s="177" t="n">
        <f aca="false">O$3*$E69</f>
        <v>6.09997993426647</v>
      </c>
      <c r="P69" s="177" t="n">
        <f aca="false">P$3*$E69</f>
        <v>6.44456141693378</v>
      </c>
      <c r="Q69" s="177" t="n">
        <f aca="false">Q$3*$E69</f>
        <v>6.91609810500796</v>
      </c>
      <c r="R69" s="177" t="n">
        <f aca="false">R$3*$E69</f>
        <v>7.50799544297351</v>
      </c>
      <c r="S69" s="177" t="n">
        <f aca="false">S$3*$E69</f>
        <v>8.17543425</v>
      </c>
      <c r="T69" s="177" t="n">
        <f aca="false">T$3*$E69</f>
        <v>8.84287305702649</v>
      </c>
      <c r="U69" s="177" t="n">
        <f aca="false">U$3*$E69</f>
        <v>9.43477039499204</v>
      </c>
      <c r="V69" s="177" t="n">
        <f aca="false">V$3*$E69</f>
        <v>9.90630708306622</v>
      </c>
      <c r="W69" s="177" t="n">
        <f aca="false">W$3*$E69</f>
        <v>10.2508885657335</v>
      </c>
      <c r="X69" s="177" t="n">
        <f aca="false">X$3*$E69</f>
        <v>10.4871299579411</v>
      </c>
      <c r="Y69" s="177" t="n">
        <f aca="false">Y$3*$E69</f>
        <v>10.642094261392</v>
      </c>
      <c r="Z69" s="177" t="n">
        <f aca="false">Z$3*$E69</f>
        <v>10.7408188565143</v>
      </c>
      <c r="AA69" s="177" t="n">
        <f aca="false">AA$3*$E69</f>
        <v>10.8025489486988</v>
      </c>
      <c r="AB69" s="177" t="n">
        <f aca="false">AB$3*$E69</f>
        <v>10.8406969819434</v>
      </c>
      <c r="AC69" s="177" t="n">
        <f aca="false">AC$3*$E69</f>
        <v>10.8641010248823</v>
      </c>
      <c r="AD69" s="219" t="n">
        <f aca="false">Algae_electricity_factor/H69</f>
        <v>0.00252162698945244</v>
      </c>
      <c r="AE69" s="220" t="n">
        <f aca="false">Algae_electricity_factor/I69</f>
        <v>0.00252162698945244</v>
      </c>
      <c r="AF69" s="220" t="n">
        <f aca="false">Algae_electricity_factor/J69</f>
        <v>0.00252162698945244</v>
      </c>
      <c r="AG69" s="220" t="n">
        <f aca="false">Algae_electricity_factor/K69</f>
        <v>0.00252162698945244</v>
      </c>
      <c r="AH69" s="220" t="n">
        <f aca="false">Algae_electricity_factor/L69</f>
        <v>0.00252162698945244</v>
      </c>
      <c r="AI69" s="220" t="n">
        <f aca="false">Algae_electricity_factor/M69</f>
        <v>0.00240745149993536</v>
      </c>
      <c r="AJ69" s="220" t="n">
        <f aca="false">Algae_electricity_factor/N69</f>
        <v>0.00234382843043741</v>
      </c>
      <c r="AK69" s="220" t="n">
        <f aca="false">Algae_electricity_factor/O69</f>
        <v>0.00225305611684474</v>
      </c>
      <c r="AL69" s="220" t="n">
        <f aca="false">Algae_electricity_factor/P69</f>
        <v>0.00213258842834773</v>
      </c>
      <c r="AM69" s="220" t="n">
        <f aca="false">Algae_electricity_factor/Q69</f>
        <v>0.00198718943757861</v>
      </c>
      <c r="AN69" s="220" t="n">
        <f aca="false">Algae_electricity_factor/R69</f>
        <v>0.00183052816266577</v>
      </c>
      <c r="AO69" s="220" t="n">
        <f aca="false">Algae_electricity_factor/S69</f>
        <v>0.00168108465963496</v>
      </c>
      <c r="AP69" s="220" t="n">
        <f aca="false">Algae_electricity_factor/T69</f>
        <v>0.0015542004295322</v>
      </c>
      <c r="AQ69" s="220" t="n">
        <f aca="false">Algae_electricity_factor/U69</f>
        <v>0.00145669650962829</v>
      </c>
      <c r="AR69" s="220" t="n">
        <f aca="false">Algae_electricity_factor/V69</f>
        <v>0.00138735827471192</v>
      </c>
      <c r="AS69" s="220" t="n">
        <f aca="false">Algae_electricity_factor/W69</f>
        <v>0.00134072251545794</v>
      </c>
      <c r="AT69" s="220" t="n">
        <f aca="false">Algae_electricity_factor/X69</f>
        <v>0.00131052033861012</v>
      </c>
      <c r="AU69" s="220" t="n">
        <f aca="false">Algae_electricity_factor/Y69</f>
        <v>0.00129143726469226</v>
      </c>
      <c r="AV69" s="220" t="n">
        <f aca="false">Algae_electricity_factor/Z69</f>
        <v>0.00127956697595675</v>
      </c>
      <c r="AW69" s="220" t="n">
        <f aca="false">Algae_electricity_factor/AA69</f>
        <v>0.00127225501766272</v>
      </c>
      <c r="AX69" s="220" t="n">
        <f aca="false">Algae_electricity_factor/AB69</f>
        <v>0.00126777799678573</v>
      </c>
      <c r="AY69" s="220" t="n">
        <f aca="false">Algae_electricity_factor/AC69</f>
        <v>0.00126504687981564</v>
      </c>
      <c r="AZ69" s="221" t="n">
        <f aca="false">Algae_yield_cost_factor/H69</f>
        <v>0.139596735051637</v>
      </c>
      <c r="BA69" s="197" t="n">
        <f aca="false">Algae_yield_cost_factor/I69</f>
        <v>0.139596735051637</v>
      </c>
      <c r="BB69" s="197" t="n">
        <f aca="false">Algae_yield_cost_factor/J69</f>
        <v>0.139596735051637</v>
      </c>
      <c r="BC69" s="197" t="n">
        <f aca="false">Algae_yield_cost_factor/K69</f>
        <v>0.139596735051637</v>
      </c>
      <c r="BD69" s="197" t="n">
        <f aca="false">Algae_yield_cost_factor/L69</f>
        <v>0.139596735051637</v>
      </c>
      <c r="BE69" s="197" t="n">
        <f aca="false">Algae_yield_cost_factor/M69</f>
        <v>0.133276004179793</v>
      </c>
      <c r="BF69" s="197" t="n">
        <f aca="false">Algae_yield_cost_factor/N69</f>
        <v>0.129753844553081</v>
      </c>
      <c r="BG69" s="197" t="n">
        <f aca="false">Algae_yield_cost_factor/O69</f>
        <v>0.124728708534303</v>
      </c>
      <c r="BH69" s="197" t="n">
        <f aca="false">Algae_yield_cost_factor/P69</f>
        <v>0.118059642862123</v>
      </c>
      <c r="BI69" s="197" t="n">
        <f aca="false">Algae_yield_cost_factor/Q69</f>
        <v>0.110010385586533</v>
      </c>
      <c r="BJ69" s="197" t="n">
        <f aca="false">Algae_yield_cost_factor/R69</f>
        <v>0.101337650650583</v>
      </c>
      <c r="BK69" s="197" t="n">
        <f aca="false">Algae_yield_cost_factor/S69</f>
        <v>0.0930644900344245</v>
      </c>
      <c r="BL69" s="197" t="n">
        <f aca="false">Algae_yield_cost_factor/T69</f>
        <v>0.0860402059805277</v>
      </c>
      <c r="BM69" s="197" t="n">
        <f aca="false">Algae_yield_cost_factor/U69</f>
        <v>0.0806424096647939</v>
      </c>
      <c r="BN69" s="197" t="n">
        <f aca="false">Algae_yield_cost_factor/V69</f>
        <v>0.0768038596932653</v>
      </c>
      <c r="BO69" s="197" t="n">
        <f aca="false">Algae_yield_cost_factor/W69</f>
        <v>0.0742221139569839</v>
      </c>
      <c r="BP69" s="197" t="n">
        <f aca="false">Algae_yield_cost_factor/X69</f>
        <v>0.072550127855533</v>
      </c>
      <c r="BQ69" s="197" t="n">
        <f aca="false">Algae_yield_cost_factor/Y69</f>
        <v>0.0714936929328326</v>
      </c>
      <c r="BR69" s="197" t="n">
        <f aca="false">Algae_yield_cost_factor/Z69</f>
        <v>0.0708365562672875</v>
      </c>
      <c r="BS69" s="197" t="n">
        <f aca="false">Algae_yield_cost_factor/AA69</f>
        <v>0.0704317678077138</v>
      </c>
      <c r="BT69" s="197" t="n">
        <f aca="false">Algae_yield_cost_factor/AB69</f>
        <v>0.0701839208819786</v>
      </c>
      <c r="BU69" s="197" t="n">
        <f aca="false">Algae_yield_cost_factor/AC69</f>
        <v>0.0700327268260523</v>
      </c>
    </row>
    <row r="70" customFormat="false" ht="15" hidden="false" customHeight="false" outlineLevel="0" collapsed="false">
      <c r="A70" s="18" t="s">
        <v>700</v>
      </c>
      <c r="B70" s="18" t="s">
        <v>22</v>
      </c>
      <c r="C70" s="18" t="s">
        <v>691</v>
      </c>
      <c r="D70" s="18" t="s">
        <v>691</v>
      </c>
      <c r="E70" s="28" t="n">
        <v>6.00352</v>
      </c>
      <c r="F70" s="185" t="n">
        <f aca="false">E70/$B$2*$F$3/1000</f>
        <v>0.014708624</v>
      </c>
      <c r="G70" s="18" t="n">
        <f aca="false">LOOKUP(RIGHT(D70,5),Ref!$C$4:$C$21,Ref!$E$4:$E$21)*$G$3</f>
        <v>2</v>
      </c>
      <c r="H70" s="218" t="n">
        <f aca="false">$E70</f>
        <v>6.00352</v>
      </c>
      <c r="I70" s="177" t="n">
        <f aca="false">$E70</f>
        <v>6.00352</v>
      </c>
      <c r="J70" s="177" t="n">
        <f aca="false">$E70</f>
        <v>6.00352</v>
      </c>
      <c r="K70" s="177" t="n">
        <f aca="false">$E70</f>
        <v>6.00352</v>
      </c>
      <c r="L70" s="177" t="n">
        <f aca="false">$E70</f>
        <v>6.00352</v>
      </c>
      <c r="M70" s="177" t="n">
        <f aca="false">M$3*$E70</f>
        <v>6.28824217813899</v>
      </c>
      <c r="N70" s="177" t="n">
        <f aca="false">N$3*$E70</f>
        <v>6.45893610092114</v>
      </c>
      <c r="O70" s="177" t="n">
        <f aca="false">O$3*$E70</f>
        <v>6.71915712641822</v>
      </c>
      <c r="P70" s="177" t="n">
        <f aca="false">P$3*$E70</f>
        <v>7.09871528068194</v>
      </c>
      <c r="Q70" s="177" t="n">
        <f aca="false">Q$3*$E70</f>
        <v>7.61811520202319</v>
      </c>
      <c r="R70" s="177" t="n">
        <f aca="false">R$3*$E70</f>
        <v>8.27009295594304</v>
      </c>
      <c r="S70" s="177" t="n">
        <f aca="false">S$3*$E70</f>
        <v>9.00528</v>
      </c>
      <c r="T70" s="177" t="n">
        <f aca="false">T$3*$E70</f>
        <v>9.74046704405696</v>
      </c>
      <c r="U70" s="177" t="n">
        <f aca="false">U$3*$E70</f>
        <v>10.3924447979768</v>
      </c>
      <c r="V70" s="177" t="n">
        <f aca="false">V$3*$E70</f>
        <v>10.9118447193181</v>
      </c>
      <c r="W70" s="177" t="n">
        <f aca="false">W$3*$E70</f>
        <v>11.2914028735818</v>
      </c>
      <c r="X70" s="177" t="n">
        <f aca="false">X$3*$E70</f>
        <v>11.5516238990789</v>
      </c>
      <c r="Y70" s="177" t="n">
        <f aca="false">Y$3*$E70</f>
        <v>11.722317821861</v>
      </c>
      <c r="Z70" s="177" t="n">
        <f aca="false">Z$3*$E70</f>
        <v>11.8310634364396</v>
      </c>
      <c r="AA70" s="177" t="n">
        <f aca="false">AA$3*$E70</f>
        <v>11.8990594287684</v>
      </c>
      <c r="AB70" s="177" t="n">
        <f aca="false">AB$3*$E70</f>
        <v>11.9410796701784</v>
      </c>
      <c r="AC70" s="177" t="n">
        <f aca="false">AC$3*$E70</f>
        <v>11.966859335619</v>
      </c>
      <c r="AD70" s="219" t="n">
        <f aca="false">Algae_electricity_factor/H70</f>
        <v>0.00228925648678263</v>
      </c>
      <c r="AE70" s="220" t="n">
        <f aca="false">Algae_electricity_factor/I70</f>
        <v>0.00228925648678263</v>
      </c>
      <c r="AF70" s="220" t="n">
        <f aca="false">Algae_electricity_factor/J70</f>
        <v>0.00228925648678263</v>
      </c>
      <c r="AG70" s="220" t="n">
        <f aca="false">Algae_electricity_factor/K70</f>
        <v>0.00228925648678263</v>
      </c>
      <c r="AH70" s="220" t="n">
        <f aca="false">Algae_electricity_factor/L70</f>
        <v>0.00228925648678263</v>
      </c>
      <c r="AI70" s="220" t="n">
        <f aca="false">Algae_electricity_factor/M70</f>
        <v>0.00218560238524349</v>
      </c>
      <c r="AJ70" s="220" t="n">
        <f aca="false">Algae_electricity_factor/N70</f>
        <v>0.00212784224658442</v>
      </c>
      <c r="AK70" s="220" t="n">
        <f aca="false">Algae_electricity_factor/O70</f>
        <v>0.00204543469440423</v>
      </c>
      <c r="AL70" s="220" t="n">
        <f aca="false">Algae_electricity_factor/P70</f>
        <v>0.00193606822644801</v>
      </c>
      <c r="AM70" s="220" t="n">
        <f aca="false">Algae_electricity_factor/Q70</f>
        <v>0.0018040679011889</v>
      </c>
      <c r="AN70" s="220" t="n">
        <f aca="false">Algae_electricity_factor/R70</f>
        <v>0.00166184312277323</v>
      </c>
      <c r="AO70" s="220" t="n">
        <f aca="false">Algae_electricity_factor/S70</f>
        <v>0.00152617099118842</v>
      </c>
      <c r="AP70" s="220" t="n">
        <f aca="false">Algae_electricity_factor/T70</f>
        <v>0.00141097927248928</v>
      </c>
      <c r="AQ70" s="220" t="n">
        <f aca="false">Algae_electricity_factor/U70</f>
        <v>0.0013224604383951</v>
      </c>
      <c r="AR70" s="220" t="n">
        <f aca="false">Algae_electricity_factor/V70</f>
        <v>0.0012595117926484</v>
      </c>
      <c r="AS70" s="220" t="n">
        <f aca="false">Algae_electricity_factor/W70</f>
        <v>0.00121717356624347</v>
      </c>
      <c r="AT70" s="220" t="n">
        <f aca="false">Algae_electricity_factor/X70</f>
        <v>0.0011897545508407</v>
      </c>
      <c r="AU70" s="220" t="n">
        <f aca="false">Algae_electricity_factor/Y70</f>
        <v>0.00117243000167584</v>
      </c>
      <c r="AV70" s="220" t="n">
        <f aca="false">Algae_electricity_factor/Z70</f>
        <v>0.00116165357217163</v>
      </c>
      <c r="AW70" s="220" t="n">
        <f aca="false">Algae_electricity_factor/AA70</f>
        <v>0.00115501541830284</v>
      </c>
      <c r="AX70" s="220" t="n">
        <f aca="false">Algae_electricity_factor/AB70</f>
        <v>0.00115095095947249</v>
      </c>
      <c r="AY70" s="220" t="n">
        <f aca="false">Algae_electricity_factor/AC70</f>
        <v>0.00114847151772076</v>
      </c>
      <c r="AZ70" s="221" t="n">
        <f aca="false">Algae_yield_cost_factor/H70</f>
        <v>0.126732753332415</v>
      </c>
      <c r="BA70" s="197" t="n">
        <f aca="false">Algae_yield_cost_factor/I70</f>
        <v>0.126732753332415</v>
      </c>
      <c r="BB70" s="197" t="n">
        <f aca="false">Algae_yield_cost_factor/J70</f>
        <v>0.126732753332415</v>
      </c>
      <c r="BC70" s="197" t="n">
        <f aca="false">Algae_yield_cost_factor/K70</f>
        <v>0.126732753332415</v>
      </c>
      <c r="BD70" s="197" t="n">
        <f aca="false">Algae_yield_cost_factor/L70</f>
        <v>0.126732753332415</v>
      </c>
      <c r="BE70" s="197" t="n">
        <f aca="false">Algae_yield_cost_factor/M70</f>
        <v>0.120994484266411</v>
      </c>
      <c r="BF70" s="197" t="n">
        <f aca="false">Algae_yield_cost_factor/N70</f>
        <v>0.117796895246837</v>
      </c>
      <c r="BG70" s="197" t="n">
        <f aca="false">Algae_yield_cost_factor/O70</f>
        <v>0.113234830644867</v>
      </c>
      <c r="BH70" s="197" t="n">
        <f aca="false">Algae_yield_cost_factor/P70</f>
        <v>0.107180326186167</v>
      </c>
      <c r="BI70" s="197" t="n">
        <f aca="false">Algae_yield_cost_factor/Q70</f>
        <v>0.0998728161900408</v>
      </c>
      <c r="BJ70" s="197" t="n">
        <f aca="false">Algae_yield_cost_factor/R70</f>
        <v>0.0919992826367764</v>
      </c>
      <c r="BK70" s="197" t="n">
        <f aca="false">Algae_yield_cost_factor/S70</f>
        <v>0.0844885022216097</v>
      </c>
      <c r="BL70" s="197" t="n">
        <f aca="false">Algae_yield_cost_factor/T70</f>
        <v>0.0781115131178887</v>
      </c>
      <c r="BM70" s="197" t="n">
        <f aca="false">Algae_yield_cost_factor/U70</f>
        <v>0.0732111292459632</v>
      </c>
      <c r="BN70" s="197" t="n">
        <f aca="false">Algae_yield_cost_factor/V70</f>
        <v>0.0697263055750088</v>
      </c>
      <c r="BO70" s="197" t="n">
        <f aca="false">Algae_yield_cost_factor/W70</f>
        <v>0.0673824703453229</v>
      </c>
      <c r="BP70" s="197" t="n">
        <f aca="false">Algae_yield_cost_factor/X70</f>
        <v>0.0658645594708886</v>
      </c>
      <c r="BQ70" s="197" t="n">
        <f aca="false">Algae_yield_cost_factor/Y70</f>
        <v>0.0649054761053585</v>
      </c>
      <c r="BR70" s="197" t="n">
        <f aca="false">Algae_yield_cost_factor/Z70</f>
        <v>0.0643088952547432</v>
      </c>
      <c r="BS70" s="197" t="n">
        <f aca="false">Algae_yield_cost_factor/AA70</f>
        <v>0.0639414084651705</v>
      </c>
      <c r="BT70" s="197" t="n">
        <f aca="false">Algae_yield_cost_factor/AB70</f>
        <v>0.0637164008867928</v>
      </c>
      <c r="BU70" s="197" t="n">
        <f aca="false">Algae_yield_cost_factor/AC70</f>
        <v>0.0635791395175499</v>
      </c>
    </row>
    <row r="71" customFormat="false" ht="15" hidden="false" customHeight="false" outlineLevel="0" collapsed="false">
      <c r="A71" s="18" t="s">
        <v>700</v>
      </c>
      <c r="B71" s="18" t="s">
        <v>22</v>
      </c>
      <c r="C71" s="18" t="s">
        <v>692</v>
      </c>
      <c r="D71" s="18" t="s">
        <v>692</v>
      </c>
      <c r="E71" s="28" t="n">
        <v>6.18748</v>
      </c>
      <c r="F71" s="185" t="n">
        <f aca="false">E71/$B$2*$F$3/1000</f>
        <v>0.015159326</v>
      </c>
      <c r="G71" s="18" t="n">
        <f aca="false">LOOKUP(RIGHT(D71,5),Ref!$C$4:$C$21,Ref!$E$4:$E$21)*$G$3</f>
        <v>2.5</v>
      </c>
      <c r="H71" s="218" t="n">
        <f aca="false">$E71</f>
        <v>6.18748</v>
      </c>
      <c r="I71" s="177" t="n">
        <f aca="false">$E71</f>
        <v>6.18748</v>
      </c>
      <c r="J71" s="177" t="n">
        <f aca="false">$E71</f>
        <v>6.18748</v>
      </c>
      <c r="K71" s="177" t="n">
        <f aca="false">$E71</f>
        <v>6.18748</v>
      </c>
      <c r="L71" s="177" t="n">
        <f aca="false">$E71</f>
        <v>6.18748</v>
      </c>
      <c r="M71" s="177" t="n">
        <f aca="false">M$3*$E71</f>
        <v>6.48092664176873</v>
      </c>
      <c r="N71" s="177" t="n">
        <f aca="false">N$3*$E71</f>
        <v>6.65685097171784</v>
      </c>
      <c r="O71" s="177" t="n">
        <f aca="false">O$3*$E71</f>
        <v>6.92504569595341</v>
      </c>
      <c r="P71" s="177" t="n">
        <f aca="false">P$3*$E71</f>
        <v>7.31623428004135</v>
      </c>
      <c r="Q71" s="177" t="n">
        <f aca="false">Q$3*$E71</f>
        <v>7.85154966589842</v>
      </c>
      <c r="R71" s="177" t="n">
        <f aca="false">R$3*$E71</f>
        <v>8.52350533737515</v>
      </c>
      <c r="S71" s="177" t="n">
        <f aca="false">S$3*$E71</f>
        <v>9.28122</v>
      </c>
      <c r="T71" s="177" t="n">
        <f aca="false">T$3*$E71</f>
        <v>10.0389346626249</v>
      </c>
      <c r="U71" s="177" t="n">
        <f aca="false">U$3*$E71</f>
        <v>10.7108903341016</v>
      </c>
      <c r="V71" s="177" t="n">
        <f aca="false">V$3*$E71</f>
        <v>11.2462057199586</v>
      </c>
      <c r="W71" s="177" t="n">
        <f aca="false">W$3*$E71</f>
        <v>11.6373943040466</v>
      </c>
      <c r="X71" s="177" t="n">
        <f aca="false">X$3*$E71</f>
        <v>11.9055890282822</v>
      </c>
      <c r="Y71" s="177" t="n">
        <f aca="false">Y$3*$E71</f>
        <v>12.0815133582313</v>
      </c>
      <c r="Z71" s="177" t="n">
        <f aca="false">Z$3*$E71</f>
        <v>12.1935911584706</v>
      </c>
      <c r="AA71" s="177" t="n">
        <f aca="false">AA$3*$E71</f>
        <v>12.2636706855838</v>
      </c>
      <c r="AB71" s="177" t="n">
        <f aca="false">AB$3*$E71</f>
        <v>12.3069785122121</v>
      </c>
      <c r="AC71" s="177" t="n">
        <f aca="false">AC$3*$E71</f>
        <v>12.333548118763</v>
      </c>
      <c r="AD71" s="219" t="n">
        <f aca="false">Algae_electricity_factor/H71</f>
        <v>0.00222119459029027</v>
      </c>
      <c r="AE71" s="220" t="n">
        <f aca="false">Algae_electricity_factor/I71</f>
        <v>0.00222119459029027</v>
      </c>
      <c r="AF71" s="220" t="n">
        <f aca="false">Algae_electricity_factor/J71</f>
        <v>0.00222119459029027</v>
      </c>
      <c r="AG71" s="220" t="n">
        <f aca="false">Algae_electricity_factor/K71</f>
        <v>0.00222119459029027</v>
      </c>
      <c r="AH71" s="220" t="n">
        <f aca="false">Algae_electricity_factor/L71</f>
        <v>0.00222119459029027</v>
      </c>
      <c r="AI71" s="220" t="n">
        <f aca="false">Algae_electricity_factor/M71</f>
        <v>0.00212062222938207</v>
      </c>
      <c r="AJ71" s="220" t="n">
        <f aca="false">Algae_electricity_factor/N71</f>
        <v>0.00206457935770532</v>
      </c>
      <c r="AK71" s="220" t="n">
        <f aca="false">Algae_electricity_factor/O71</f>
        <v>0.00198462186488678</v>
      </c>
      <c r="AL71" s="220" t="n">
        <f aca="false">Algae_electricity_factor/P71</f>
        <v>0.00187850697195711</v>
      </c>
      <c r="AM71" s="220" t="n">
        <f aca="false">Algae_electricity_factor/Q71</f>
        <v>0.00175043114905351</v>
      </c>
      <c r="AN71" s="220" t="n">
        <f aca="false">Algae_electricity_factor/R71</f>
        <v>0.00161243485626322</v>
      </c>
      <c r="AO71" s="220" t="n">
        <f aca="false">Algae_electricity_factor/S71</f>
        <v>0.00148079639352685</v>
      </c>
      <c r="AP71" s="220" t="n">
        <f aca="false">Algae_electricity_factor/T71</f>
        <v>0.00136902944041432</v>
      </c>
      <c r="AQ71" s="220" t="n">
        <f aca="false">Algae_electricity_factor/U71</f>
        <v>0.00128314236023611</v>
      </c>
      <c r="AR71" s="220" t="n">
        <f aca="false">Algae_electricity_factor/V71</f>
        <v>0.00122206524100288</v>
      </c>
      <c r="AS71" s="220" t="n">
        <f aca="false">Algae_electricity_factor/W71</f>
        <v>0.00118098577262698</v>
      </c>
      <c r="AT71" s="220" t="n">
        <f aca="false">Algae_electricity_factor/X71</f>
        <v>0.00115438195211349</v>
      </c>
      <c r="AU71" s="220" t="n">
        <f aca="false">Algae_electricity_factor/Y71</f>
        <v>0.00113757247920978</v>
      </c>
      <c r="AV71" s="220" t="n">
        <f aca="false">Algae_electricity_factor/Z71</f>
        <v>0.0011271164437871</v>
      </c>
      <c r="AW71" s="220" t="n">
        <f aca="false">Algae_electricity_factor/AA71</f>
        <v>0.00112067564890544</v>
      </c>
      <c r="AX71" s="220" t="n">
        <f aca="false">Algae_electricity_factor/AB71</f>
        <v>0.00111673203052168</v>
      </c>
      <c r="AY71" s="220" t="n">
        <f aca="false">Algae_electricity_factor/AC71</f>
        <v>0.00111432630506554</v>
      </c>
      <c r="AZ71" s="221" t="n">
        <f aca="false">Algae_yield_cost_factor/H71</f>
        <v>0.122964861185203</v>
      </c>
      <c r="BA71" s="197" t="n">
        <f aca="false">Algae_yield_cost_factor/I71</f>
        <v>0.122964861185203</v>
      </c>
      <c r="BB71" s="197" t="n">
        <f aca="false">Algae_yield_cost_factor/J71</f>
        <v>0.122964861185203</v>
      </c>
      <c r="BC71" s="197" t="n">
        <f aca="false">Algae_yield_cost_factor/K71</f>
        <v>0.122964861185203</v>
      </c>
      <c r="BD71" s="197" t="n">
        <f aca="false">Algae_yield_cost_factor/L71</f>
        <v>0.122964861185203</v>
      </c>
      <c r="BE71" s="197" t="n">
        <f aca="false">Algae_yield_cost_factor/M71</f>
        <v>0.117397196626588</v>
      </c>
      <c r="BF71" s="197" t="n">
        <f aca="false">Algae_yield_cost_factor/N71</f>
        <v>0.114294675142754</v>
      </c>
      <c r="BG71" s="197" t="n">
        <f aca="false">Algae_yield_cost_factor/O71</f>
        <v>0.109868245307148</v>
      </c>
      <c r="BH71" s="197" t="n">
        <f aca="false">Algae_yield_cost_factor/P71</f>
        <v>0.103993747351939</v>
      </c>
      <c r="BI71" s="197" t="n">
        <f aca="false">Algae_yield_cost_factor/Q71</f>
        <v>0.0969034969734421</v>
      </c>
      <c r="BJ71" s="197" t="n">
        <f aca="false">Algae_yield_cost_factor/R71</f>
        <v>0.0892640514871224</v>
      </c>
      <c r="BK71" s="197" t="n">
        <f aca="false">Algae_yield_cost_factor/S71</f>
        <v>0.0819765741234685</v>
      </c>
      <c r="BL71" s="197" t="n">
        <f aca="false">Algae_yield_cost_factor/T71</f>
        <v>0.0757891793158939</v>
      </c>
      <c r="BM71" s="197" t="n">
        <f aca="false">Algae_yield_cost_factor/U71</f>
        <v>0.0710344887823031</v>
      </c>
      <c r="BN71" s="197" t="n">
        <f aca="false">Algae_yield_cost_factor/V71</f>
        <v>0.0676532724220001</v>
      </c>
      <c r="BO71" s="197" t="n">
        <f aca="false">Algae_yield_cost_factor/W71</f>
        <v>0.0653791217696951</v>
      </c>
      <c r="BP71" s="197" t="n">
        <f aca="false">Algae_yield_cost_factor/X71</f>
        <v>0.0639063399113483</v>
      </c>
      <c r="BQ71" s="197" t="n">
        <f aca="false">Algae_yield_cost_factor/Y71</f>
        <v>0.0629757710583374</v>
      </c>
      <c r="BR71" s="197" t="n">
        <f aca="false">Algae_yield_cost_factor/Z71</f>
        <v>0.0623969271560888</v>
      </c>
      <c r="BS71" s="197" t="n">
        <f aca="false">Algae_yield_cost_factor/AA71</f>
        <v>0.0620403661181645</v>
      </c>
      <c r="BT71" s="197" t="n">
        <f aca="false">Algae_yield_cost_factor/AB71</f>
        <v>0.0618220482412676</v>
      </c>
      <c r="BU71" s="197" t="n">
        <f aca="false">Algae_yield_cost_factor/AC71</f>
        <v>0.0616888677905062</v>
      </c>
    </row>
    <row r="72" customFormat="false" ht="15" hidden="false" customHeight="false" outlineLevel="0" collapsed="false">
      <c r="A72" s="18" t="s">
        <v>700</v>
      </c>
      <c r="B72" s="18" t="s">
        <v>22</v>
      </c>
      <c r="C72" s="18" t="s">
        <v>693</v>
      </c>
      <c r="D72" s="18" t="s">
        <v>693</v>
      </c>
      <c r="E72" s="28" t="n">
        <v>6.21522</v>
      </c>
      <c r="F72" s="185" t="n">
        <f aca="false">E72/$B$2*$F$3/1000</f>
        <v>0.015227289</v>
      </c>
      <c r="G72" s="18" t="n">
        <f aca="false">LOOKUP(RIGHT(D72,5),Ref!$C$4:$C$21,Ref!$E$4:$E$21)*$G$3</f>
        <v>3</v>
      </c>
      <c r="H72" s="218" t="n">
        <f aca="false">$E72</f>
        <v>6.21522</v>
      </c>
      <c r="I72" s="177" t="n">
        <f aca="false">$E72</f>
        <v>6.21522</v>
      </c>
      <c r="J72" s="177" t="n">
        <f aca="false">$E72</f>
        <v>6.21522</v>
      </c>
      <c r="K72" s="177" t="n">
        <f aca="false">$E72</f>
        <v>6.21522</v>
      </c>
      <c r="L72" s="177" t="n">
        <f aca="false">$E72</f>
        <v>6.21522</v>
      </c>
      <c r="M72" s="177" t="n">
        <f aca="false">M$3*$E72</f>
        <v>6.50998223549068</v>
      </c>
      <c r="N72" s="177" t="n">
        <f aca="false">N$3*$E72</f>
        <v>6.68669527763163</v>
      </c>
      <c r="O72" s="177" t="n">
        <f aca="false">O$3*$E72</f>
        <v>6.95609238501031</v>
      </c>
      <c r="P72" s="177" t="n">
        <f aca="false">P$3*$E72</f>
        <v>7.34903476407174</v>
      </c>
      <c r="Q72" s="177" t="n">
        <f aca="false">Q$3*$E72</f>
        <v>7.88675010092722</v>
      </c>
      <c r="R72" s="177" t="n">
        <f aca="false">R$3*$E72</f>
        <v>8.56171831552761</v>
      </c>
      <c r="S72" s="177" t="n">
        <f aca="false">S$3*$E72</f>
        <v>9.32283</v>
      </c>
      <c r="T72" s="177" t="n">
        <f aca="false">T$3*$E72</f>
        <v>10.0839416844724</v>
      </c>
      <c r="U72" s="177" t="n">
        <f aca="false">U$3*$E72</f>
        <v>10.7589098990728</v>
      </c>
      <c r="V72" s="177" t="n">
        <f aca="false">V$3*$E72</f>
        <v>11.2966252359283</v>
      </c>
      <c r="W72" s="177" t="n">
        <f aca="false">W$3*$E72</f>
        <v>11.6895676149897</v>
      </c>
      <c r="X72" s="177" t="n">
        <f aca="false">X$3*$E72</f>
        <v>11.9589647223684</v>
      </c>
      <c r="Y72" s="177" t="n">
        <f aca="false">Y$3*$E72</f>
        <v>12.1356777645093</v>
      </c>
      <c r="Z72" s="177" t="n">
        <f aca="false">Z$3*$E72</f>
        <v>12.2482580371896</v>
      </c>
      <c r="AA72" s="177" t="n">
        <f aca="false">AA$3*$E72</f>
        <v>12.3186517481194</v>
      </c>
      <c r="AB72" s="177" t="n">
        <f aca="false">AB$3*$E72</f>
        <v>12.3621537344235</v>
      </c>
      <c r="AC72" s="177" t="n">
        <f aca="false">AC$3*$E72</f>
        <v>12.3888424590784</v>
      </c>
      <c r="AD72" s="219" t="n">
        <f aca="false">Algae_electricity_factor/H72</f>
        <v>0.00221128087236321</v>
      </c>
      <c r="AE72" s="220" t="n">
        <f aca="false">Algae_electricity_factor/I72</f>
        <v>0.00221128087236321</v>
      </c>
      <c r="AF72" s="220" t="n">
        <f aca="false">Algae_electricity_factor/J72</f>
        <v>0.00221128087236321</v>
      </c>
      <c r="AG72" s="220" t="n">
        <f aca="false">Algae_electricity_factor/K72</f>
        <v>0.00221128087236321</v>
      </c>
      <c r="AH72" s="220" t="n">
        <f aca="false">Algae_electricity_factor/L72</f>
        <v>0.00221128087236321</v>
      </c>
      <c r="AI72" s="220" t="n">
        <f aca="false">Algae_electricity_factor/M72</f>
        <v>0.00211115738973954</v>
      </c>
      <c r="AJ72" s="220" t="n">
        <f aca="false">Algae_electricity_factor/N72</f>
        <v>0.00205536465068244</v>
      </c>
      <c r="AK72" s="220" t="n">
        <f aca="false">Algae_electricity_factor/O72</f>
        <v>0.00197576402710599</v>
      </c>
      <c r="AL72" s="220" t="n">
        <f aca="false">Algae_electricity_factor/P72</f>
        <v>0.00187012275009495</v>
      </c>
      <c r="AM72" s="220" t="n">
        <f aca="false">Algae_electricity_factor/Q72</f>
        <v>0.00174261855994568</v>
      </c>
      <c r="AN72" s="220" t="n">
        <f aca="false">Algae_electricity_factor/R72</f>
        <v>0.00160523817731818</v>
      </c>
      <c r="AO72" s="220" t="n">
        <f aca="false">Algae_electricity_factor/S72</f>
        <v>0.00147418724824214</v>
      </c>
      <c r="AP72" s="220" t="n">
        <f aca="false">Algae_electricity_factor/T72</f>
        <v>0.00136291913753251</v>
      </c>
      <c r="AQ72" s="220" t="n">
        <f aca="false">Algae_electricity_factor/U72</f>
        <v>0.00127741539175021</v>
      </c>
      <c r="AR72" s="220" t="n">
        <f aca="false">Algae_electricity_factor/V72</f>
        <v>0.0012166108741767</v>
      </c>
      <c r="AS72" s="220" t="n">
        <f aca="false">Algae_electricity_factor/W72</f>
        <v>0.00117571475320487</v>
      </c>
      <c r="AT72" s="220" t="n">
        <f aca="false">Algae_electricity_factor/X72</f>
        <v>0.001149229671848</v>
      </c>
      <c r="AU72" s="220" t="n">
        <f aca="false">Algae_electricity_factor/Y72</f>
        <v>0.00113249522360607</v>
      </c>
      <c r="AV72" s="220" t="n">
        <f aca="false">Algae_electricity_factor/Z72</f>
        <v>0.00112208585594779</v>
      </c>
      <c r="AW72" s="220" t="n">
        <f aca="false">Algae_electricity_factor/AA72</f>
        <v>0.00111567380786029</v>
      </c>
      <c r="AX72" s="220" t="n">
        <f aca="false">Algae_electricity_factor/AB72</f>
        <v>0.0011117477907801</v>
      </c>
      <c r="AY72" s="220" t="n">
        <f aca="false">Algae_electricity_factor/AC72</f>
        <v>0.00110935280264688</v>
      </c>
      <c r="AZ72" s="221" t="n">
        <f aca="false">Algae_yield_cost_factor/H72</f>
        <v>0.122416039864432</v>
      </c>
      <c r="BA72" s="197" t="n">
        <f aca="false">Algae_yield_cost_factor/I72</f>
        <v>0.122416039864432</v>
      </c>
      <c r="BB72" s="197" t="n">
        <f aca="false">Algae_yield_cost_factor/J72</f>
        <v>0.122416039864432</v>
      </c>
      <c r="BC72" s="197" t="n">
        <f aca="false">Algae_yield_cost_factor/K72</f>
        <v>0.122416039864432</v>
      </c>
      <c r="BD72" s="197" t="n">
        <f aca="false">Algae_yield_cost_factor/L72</f>
        <v>0.122416039864432</v>
      </c>
      <c r="BE72" s="197" t="n">
        <f aca="false">Algae_yield_cost_factor/M72</f>
        <v>0.116873225112399</v>
      </c>
      <c r="BF72" s="197" t="n">
        <f aca="false">Algae_yield_cost_factor/N72</f>
        <v>0.113784550917311</v>
      </c>
      <c r="BG72" s="197" t="n">
        <f aca="false">Algae_yield_cost_factor/O72</f>
        <v>0.109377877287219</v>
      </c>
      <c r="BH72" s="197" t="n">
        <f aca="false">Algae_yield_cost_factor/P72</f>
        <v>0.103529598608766</v>
      </c>
      <c r="BI72" s="197" t="n">
        <f aca="false">Algae_yield_cost_factor/Q72</f>
        <v>0.0964709936982494</v>
      </c>
      <c r="BJ72" s="197" t="n">
        <f aca="false">Algae_yield_cost_factor/R72</f>
        <v>0.088865644867847</v>
      </c>
      <c r="BK72" s="197" t="n">
        <f aca="false">Algae_yield_cost_factor/S72</f>
        <v>0.081610693242955</v>
      </c>
      <c r="BL72" s="197" t="n">
        <f aca="false">Algae_yield_cost_factor/T72</f>
        <v>0.0754509142449515</v>
      </c>
      <c r="BM72" s="197" t="n">
        <f aca="false">Algae_yield_cost_factor/U72</f>
        <v>0.0707174450221754</v>
      </c>
      <c r="BN72" s="197" t="n">
        <f aca="false">Algae_yield_cost_factor/V72</f>
        <v>0.0673513198319089</v>
      </c>
      <c r="BO72" s="197" t="n">
        <f aca="false">Algae_yield_cost_factor/W72</f>
        <v>0.0650873192529875</v>
      </c>
      <c r="BP72" s="197" t="n">
        <f aca="false">Algae_yield_cost_factor/X72</f>
        <v>0.0636211107691552</v>
      </c>
      <c r="BQ72" s="197" t="n">
        <f aca="false">Algae_yield_cost_factor/Y72</f>
        <v>0.0626946952655001</v>
      </c>
      <c r="BR72" s="197" t="n">
        <f aca="false">Algae_yield_cost_factor/Z72</f>
        <v>0.0621184348807856</v>
      </c>
      <c r="BS72" s="197" t="n">
        <f aca="false">Algae_yield_cost_factor/AA72</f>
        <v>0.0617634652592861</v>
      </c>
      <c r="BT72" s="197" t="n">
        <f aca="false">Algae_yield_cost_factor/AB72</f>
        <v>0.0615461217868199</v>
      </c>
      <c r="BU72" s="197" t="n">
        <f aca="false">Algae_yield_cost_factor/AC72</f>
        <v>0.0614135357519768</v>
      </c>
    </row>
    <row r="73" customFormat="false" ht="15" hidden="false" customHeight="false" outlineLevel="0" collapsed="false">
      <c r="A73" s="18" t="s">
        <v>700</v>
      </c>
      <c r="B73" s="18" t="s">
        <v>22</v>
      </c>
      <c r="C73" s="18" t="s">
        <v>694</v>
      </c>
      <c r="D73" s="18" t="s">
        <v>694</v>
      </c>
      <c r="E73" s="28" t="n">
        <v>6.119809</v>
      </c>
      <c r="F73" s="185" t="n">
        <f aca="false">E73/$B$2*$F$3/1000</f>
        <v>0.01499353205</v>
      </c>
      <c r="G73" s="18" t="n">
        <f aca="false">LOOKUP(RIGHT(D73,5),Ref!$C$4:$C$21,Ref!$E$4:$E$21)*$G$3</f>
        <v>3</v>
      </c>
      <c r="H73" s="218" t="n">
        <f aca="false">$E73</f>
        <v>6.119809</v>
      </c>
      <c r="I73" s="177" t="n">
        <f aca="false">$E73</f>
        <v>6.119809</v>
      </c>
      <c r="J73" s="177" t="n">
        <f aca="false">$E73</f>
        <v>6.119809</v>
      </c>
      <c r="K73" s="177" t="n">
        <f aca="false">$E73</f>
        <v>6.119809</v>
      </c>
      <c r="L73" s="177" t="n">
        <f aca="false">$E73</f>
        <v>6.119809</v>
      </c>
      <c r="M73" s="177" t="n">
        <f aca="false">M$3*$E73</f>
        <v>6.41004628550493</v>
      </c>
      <c r="N73" s="177" t="n">
        <f aca="false">N$3*$E73</f>
        <v>6.58404657281763</v>
      </c>
      <c r="O73" s="177" t="n">
        <f aca="false">O$3*$E73</f>
        <v>6.84930811501725</v>
      </c>
      <c r="P73" s="177" t="n">
        <f aca="false">P$3*$E73</f>
        <v>7.23621836241985</v>
      </c>
      <c r="Q73" s="177" t="n">
        <f aca="false">Q$3*$E73</f>
        <v>7.76567913097289</v>
      </c>
      <c r="R73" s="177" t="n">
        <f aca="false">R$3*$E73</f>
        <v>8.43028578277691</v>
      </c>
      <c r="S73" s="177" t="n">
        <f aca="false">S$3*$E73</f>
        <v>9.1797135</v>
      </c>
      <c r="T73" s="177" t="n">
        <f aca="false">T$3*$E73</f>
        <v>9.92914121722309</v>
      </c>
      <c r="U73" s="177" t="n">
        <f aca="false">U$3*$E73</f>
        <v>10.5937478690271</v>
      </c>
      <c r="V73" s="177" t="n">
        <f aca="false">V$3*$E73</f>
        <v>11.1232086375801</v>
      </c>
      <c r="W73" s="177" t="n">
        <f aca="false">W$3*$E73</f>
        <v>11.5101188849827</v>
      </c>
      <c r="X73" s="177" t="n">
        <f aca="false">X$3*$E73</f>
        <v>11.7753804271824</v>
      </c>
      <c r="Y73" s="177" t="n">
        <f aca="false">Y$3*$E73</f>
        <v>11.9493807144951</v>
      </c>
      <c r="Z73" s="177" t="n">
        <f aca="false">Z$3*$E73</f>
        <v>12.0602327464378</v>
      </c>
      <c r="AA73" s="177" t="n">
        <f aca="false">AA$3*$E73</f>
        <v>12.1295458303981</v>
      </c>
      <c r="AB73" s="177" t="n">
        <f aca="false">AB$3*$E73</f>
        <v>12.1723800096068</v>
      </c>
      <c r="AC73" s="177" t="n">
        <f aca="false">AC$3*$E73</f>
        <v>12.1986590306779</v>
      </c>
      <c r="AD73" s="219" t="n">
        <f aca="false">Algae_electricity_factor/H73</f>
        <v>0.00224575588936342</v>
      </c>
      <c r="AE73" s="220" t="n">
        <f aca="false">Algae_electricity_factor/I73</f>
        <v>0.00224575588936342</v>
      </c>
      <c r="AF73" s="220" t="n">
        <f aca="false">Algae_electricity_factor/J73</f>
        <v>0.00224575588936342</v>
      </c>
      <c r="AG73" s="220" t="n">
        <f aca="false">Algae_electricity_factor/K73</f>
        <v>0.00224575588936342</v>
      </c>
      <c r="AH73" s="220" t="n">
        <f aca="false">Algae_electricity_factor/L73</f>
        <v>0.00224575588936342</v>
      </c>
      <c r="AI73" s="220" t="n">
        <f aca="false">Algae_electricity_factor/M73</f>
        <v>0.00214407142965687</v>
      </c>
      <c r="AJ73" s="220" t="n">
        <f aca="false">Algae_electricity_factor/N73</f>
        <v>0.00208740885282768</v>
      </c>
      <c r="AK73" s="220" t="n">
        <f aca="false">Algae_electricity_factor/O73</f>
        <v>0.00200656721419732</v>
      </c>
      <c r="AL73" s="220" t="n">
        <f aca="false">Algae_electricity_factor/P73</f>
        <v>0.00189927893482381</v>
      </c>
      <c r="AM73" s="220" t="n">
        <f aca="false">Algae_electricity_factor/Q73</f>
        <v>0.00176978688814399</v>
      </c>
      <c r="AN73" s="220" t="n">
        <f aca="false">Algae_electricity_factor/R73</f>
        <v>0.00163026467401704</v>
      </c>
      <c r="AO73" s="220" t="n">
        <f aca="false">Algae_electricity_factor/S73</f>
        <v>0.00149717059290895</v>
      </c>
      <c r="AP73" s="220" t="n">
        <f aca="false">Algae_electricity_factor/T73</f>
        <v>0.00138416775457777</v>
      </c>
      <c r="AQ73" s="220" t="n">
        <f aca="false">Algae_electricity_factor/U73</f>
        <v>0.00129733096100119</v>
      </c>
      <c r="AR73" s="220" t="n">
        <f aca="false">Algae_electricity_factor/V73</f>
        <v>0.00123557846942617</v>
      </c>
      <c r="AS73" s="220" t="n">
        <f aca="false">Algae_electricity_factor/W73</f>
        <v>0.00119404475669322</v>
      </c>
      <c r="AT73" s="220" t="n">
        <f aca="false">Algae_electricity_factor/X73</f>
        <v>0.00116714675916571</v>
      </c>
      <c r="AU73" s="220" t="n">
        <f aca="false">Algae_electricity_factor/Y73</f>
        <v>0.00115015141218639</v>
      </c>
      <c r="AV73" s="220" t="n">
        <f aca="false">Algae_electricity_factor/Z73</f>
        <v>0.00113957975708128</v>
      </c>
      <c r="AW73" s="220" t="n">
        <f aca="false">Algae_electricity_factor/AA73</f>
        <v>0.00113306774183467</v>
      </c>
      <c r="AX73" s="220" t="n">
        <f aca="false">Algae_electricity_factor/AB73</f>
        <v>0.00112908051610962</v>
      </c>
      <c r="AY73" s="220" t="n">
        <f aca="false">Algae_electricity_factor/AC73</f>
        <v>0.00112664818886781</v>
      </c>
      <c r="AZ73" s="221" t="n">
        <f aca="false">Algae_yield_cost_factor/H73</f>
        <v>0.124324569490031</v>
      </c>
      <c r="BA73" s="197" t="n">
        <f aca="false">Algae_yield_cost_factor/I73</f>
        <v>0.124324569490031</v>
      </c>
      <c r="BB73" s="197" t="n">
        <f aca="false">Algae_yield_cost_factor/J73</f>
        <v>0.124324569490031</v>
      </c>
      <c r="BC73" s="197" t="n">
        <f aca="false">Algae_yield_cost_factor/K73</f>
        <v>0.124324569490031</v>
      </c>
      <c r="BD73" s="197" t="n">
        <f aca="false">Algae_yield_cost_factor/L73</f>
        <v>0.124324569490031</v>
      </c>
      <c r="BE73" s="197" t="n">
        <f aca="false">Algae_yield_cost_factor/M73</f>
        <v>0.118695339377925</v>
      </c>
      <c r="BF73" s="197" t="n">
        <f aca="false">Algae_yield_cost_factor/N73</f>
        <v>0.115558511148353</v>
      </c>
      <c r="BG73" s="197" t="n">
        <f aca="false">Algae_yield_cost_factor/O73</f>
        <v>0.111083135188218</v>
      </c>
      <c r="BH73" s="197" t="n">
        <f aca="false">Algae_yield_cost_factor/P73</f>
        <v>0.105143678808469</v>
      </c>
      <c r="BI73" s="197" t="n">
        <f aca="false">Algae_yield_cost_factor/Q73</f>
        <v>0.0979750265822403</v>
      </c>
      <c r="BJ73" s="197" t="n">
        <f aca="false">Algae_yield_cost_factor/R73</f>
        <v>0.0902511064145205</v>
      </c>
      <c r="BK73" s="197" t="n">
        <f aca="false">Algae_yield_cost_factor/S73</f>
        <v>0.0828830463266874</v>
      </c>
      <c r="BL73" s="197" t="n">
        <f aca="false">Algae_yield_cost_factor/T73</f>
        <v>0.0766272331756608</v>
      </c>
      <c r="BM73" s="197" t="n">
        <f aca="false">Algae_yield_cost_factor/U73</f>
        <v>0.0718199667098638</v>
      </c>
      <c r="BN73" s="197" t="n">
        <f aca="false">Algae_yield_cost_factor/V73</f>
        <v>0.068401361880032</v>
      </c>
      <c r="BO73" s="197" t="n">
        <f aca="false">Algae_yield_cost_factor/W73</f>
        <v>0.0661020643565106</v>
      </c>
      <c r="BP73" s="197" t="n">
        <f aca="false">Algae_yield_cost_factor/X73</f>
        <v>0.0646129969210917</v>
      </c>
      <c r="BQ73" s="197" t="n">
        <f aca="false">Algae_yield_cost_factor/Y73</f>
        <v>0.0636721381186965</v>
      </c>
      <c r="BR73" s="197" t="n">
        <f aca="false">Algae_yield_cost_factor/Z73</f>
        <v>0.063086893535363</v>
      </c>
      <c r="BS73" s="197" t="n">
        <f aca="false">Algae_yield_cost_factor/AA73</f>
        <v>0.0627263897531476</v>
      </c>
      <c r="BT73" s="197" t="n">
        <f aca="false">Algae_yield_cost_factor/AB73</f>
        <v>0.0625056577830907</v>
      </c>
      <c r="BU73" s="197" t="n">
        <f aca="false">Algae_yield_cost_factor/AC73</f>
        <v>0.0623710046631196</v>
      </c>
    </row>
    <row r="74" customFormat="false" ht="15" hidden="false" customHeight="false" outlineLevel="0" collapsed="false">
      <c r="A74" s="18" t="s">
        <v>700</v>
      </c>
      <c r="B74" s="18" t="s">
        <v>22</v>
      </c>
      <c r="C74" s="18" t="s">
        <v>682</v>
      </c>
      <c r="D74" s="18" t="s">
        <v>682</v>
      </c>
      <c r="E74" s="28" t="n">
        <v>5.93417</v>
      </c>
      <c r="F74" s="185" t="n">
        <f aca="false">E74/$B$2*$F$3/1000</f>
        <v>0.0145387165</v>
      </c>
      <c r="G74" s="18" t="n">
        <f aca="false">LOOKUP(RIGHT(D74,5),Ref!$C$4:$C$21,Ref!$E$4:$E$21)*$G$3</f>
        <v>3</v>
      </c>
      <c r="H74" s="218" t="n">
        <f aca="false">$E74</f>
        <v>5.93417</v>
      </c>
      <c r="I74" s="177" t="n">
        <f aca="false">$E74</f>
        <v>5.93417</v>
      </c>
      <c r="J74" s="177" t="n">
        <f aca="false">$E74</f>
        <v>5.93417</v>
      </c>
      <c r="K74" s="177" t="n">
        <f aca="false">$E74</f>
        <v>5.93417</v>
      </c>
      <c r="L74" s="177" t="n">
        <f aca="false">$E74</f>
        <v>5.93417</v>
      </c>
      <c r="M74" s="177" t="n">
        <f aca="false">M$3*$E74</f>
        <v>6.21560319383412</v>
      </c>
      <c r="N74" s="177" t="n">
        <f aca="false">N$3*$E74</f>
        <v>6.38432533613666</v>
      </c>
      <c r="O74" s="177" t="n">
        <f aca="false">O$3*$E74</f>
        <v>6.64154040377599</v>
      </c>
      <c r="P74" s="177" t="n">
        <f aca="false">P$3*$E74</f>
        <v>7.01671407060597</v>
      </c>
      <c r="Q74" s="177" t="n">
        <f aca="false">Q$3*$E74</f>
        <v>7.53011411445119</v>
      </c>
      <c r="R74" s="177" t="n">
        <f aca="false">R$3*$E74</f>
        <v>8.17456051056189</v>
      </c>
      <c r="S74" s="177" t="n">
        <f aca="false">S$3*$E74</f>
        <v>8.901255</v>
      </c>
      <c r="T74" s="177" t="n">
        <f aca="false">T$3*$E74</f>
        <v>9.62794948943811</v>
      </c>
      <c r="U74" s="177" t="n">
        <f aca="false">U$3*$E74</f>
        <v>10.2723958855488</v>
      </c>
      <c r="V74" s="177" t="n">
        <f aca="false">V$3*$E74</f>
        <v>10.785795929394</v>
      </c>
      <c r="W74" s="177" t="n">
        <f aca="false">W$3*$E74</f>
        <v>11.160969596224</v>
      </c>
      <c r="X74" s="177" t="n">
        <f aca="false">X$3*$E74</f>
        <v>11.4181846638633</v>
      </c>
      <c r="Y74" s="177" t="n">
        <f aca="false">Y$3*$E74</f>
        <v>11.5869068061659</v>
      </c>
      <c r="Z74" s="177" t="n">
        <f aca="false">Z$3*$E74</f>
        <v>11.6943962396422</v>
      </c>
      <c r="AA74" s="177" t="n">
        <f aca="false">AA$3*$E74</f>
        <v>11.7616067724293</v>
      </c>
      <c r="AB74" s="177" t="n">
        <f aca="false">AB$3*$E74</f>
        <v>11.8031416146498</v>
      </c>
      <c r="AC74" s="177" t="n">
        <f aca="false">AC$3*$E74</f>
        <v>11.8286234848306</v>
      </c>
      <c r="AD74" s="219" t="n">
        <f aca="false">Algae_electricity_factor/H74</f>
        <v>0.00231601000704888</v>
      </c>
      <c r="AE74" s="220" t="n">
        <f aca="false">Algae_electricity_factor/I74</f>
        <v>0.00231601000704888</v>
      </c>
      <c r="AF74" s="220" t="n">
        <f aca="false">Algae_electricity_factor/J74</f>
        <v>0.00231601000704888</v>
      </c>
      <c r="AG74" s="220" t="n">
        <f aca="false">Algae_electricity_factor/K74</f>
        <v>0.00231601000704888</v>
      </c>
      <c r="AH74" s="220" t="n">
        <f aca="false">Algae_electricity_factor/L74</f>
        <v>0.00231601000704888</v>
      </c>
      <c r="AI74" s="220" t="n">
        <f aca="false">Algae_electricity_factor/M74</f>
        <v>0.00221114454622247</v>
      </c>
      <c r="AJ74" s="220" t="n">
        <f aca="false">Algae_electricity_factor/N74</f>
        <v>0.00215270939056591</v>
      </c>
      <c r="AK74" s="220" t="n">
        <f aca="false">Algae_electricity_factor/O74</f>
        <v>0.00206933877805147</v>
      </c>
      <c r="AL74" s="220" t="n">
        <f aca="false">Algae_electricity_factor/P74</f>
        <v>0.0019586941929276</v>
      </c>
      <c r="AM74" s="220" t="n">
        <f aca="false">Algae_electricity_factor/Q74</f>
        <v>0.00182515123869818</v>
      </c>
      <c r="AN74" s="220" t="n">
        <f aca="false">Algae_electricity_factor/R74</f>
        <v>0.00168126434268508</v>
      </c>
      <c r="AO74" s="220" t="n">
        <f aca="false">Algae_electricity_factor/S74</f>
        <v>0.00154400667136592</v>
      </c>
      <c r="AP74" s="220" t="n">
        <f aca="false">Algae_electricity_factor/T74</f>
        <v>0.00142746875838994</v>
      </c>
      <c r="AQ74" s="220" t="n">
        <f aca="false">Algae_electricity_factor/U74</f>
        <v>0.00133791544413351</v>
      </c>
      <c r="AR74" s="220" t="n">
        <f aca="false">Algae_electricity_factor/V74</f>
        <v>0.00127423114561944</v>
      </c>
      <c r="AS74" s="220" t="n">
        <f aca="false">Algae_electricity_factor/W74</f>
        <v>0.00123139813123217</v>
      </c>
      <c r="AT74" s="220" t="n">
        <f aca="false">Algae_electricity_factor/X74</f>
        <v>0.00120365868201672</v>
      </c>
      <c r="AU74" s="220" t="n">
        <f aca="false">Algae_electricity_factor/Y74</f>
        <v>0.00118613166856712</v>
      </c>
      <c r="AV74" s="220" t="n">
        <f aca="false">Algae_electricity_factor/Z74</f>
        <v>0.00117522929973422</v>
      </c>
      <c r="AW74" s="220" t="n">
        <f aca="false">Algae_electricity_factor/AA74</f>
        <v>0.00116851356871971</v>
      </c>
      <c r="AX74" s="220" t="n">
        <f aca="false">Algae_electricity_factor/AB74</f>
        <v>0.0011644016103705</v>
      </c>
      <c r="AY74" s="220" t="n">
        <f aca="false">Algae_electricity_factor/AC74</f>
        <v>0.00116189319248807</v>
      </c>
      <c r="AZ74" s="221" t="n">
        <f aca="false">Algae_yield_cost_factor/H74</f>
        <v>0.128213822537308</v>
      </c>
      <c r="BA74" s="197" t="n">
        <f aca="false">Algae_yield_cost_factor/I74</f>
        <v>0.128213822537308</v>
      </c>
      <c r="BB74" s="197" t="n">
        <f aca="false">Algae_yield_cost_factor/J74</f>
        <v>0.128213822537308</v>
      </c>
      <c r="BC74" s="197" t="n">
        <f aca="false">Algae_yield_cost_factor/K74</f>
        <v>0.128213822537308</v>
      </c>
      <c r="BD74" s="197" t="n">
        <f aca="false">Algae_yield_cost_factor/L74</f>
        <v>0.128213822537308</v>
      </c>
      <c r="BE74" s="197" t="n">
        <f aca="false">Algae_yield_cost_factor/M74</f>
        <v>0.122408492878209</v>
      </c>
      <c r="BF74" s="197" t="n">
        <f aca="false">Algae_yield_cost_factor/N74</f>
        <v>0.119173535060891</v>
      </c>
      <c r="BG74" s="197" t="n">
        <f aca="false">Algae_yield_cost_factor/O74</f>
        <v>0.114558155643177</v>
      </c>
      <c r="BH74" s="197" t="n">
        <f aca="false">Algae_yield_cost_factor/P74</f>
        <v>0.10843289488929</v>
      </c>
      <c r="BI74" s="197" t="n">
        <f aca="false">Algae_yield_cost_factor/Q74</f>
        <v>0.10103998528071</v>
      </c>
      <c r="BJ74" s="197" t="n">
        <f aca="false">Algae_yield_cost_factor/R74</f>
        <v>0.0930744372499507</v>
      </c>
      <c r="BK74" s="197" t="n">
        <f aca="false">Algae_yield_cost_factor/S74</f>
        <v>0.0854758816915388</v>
      </c>
      <c r="BL74" s="197" t="n">
        <f aca="false">Algae_yield_cost_factor/T74</f>
        <v>0.0790243675583118</v>
      </c>
      <c r="BM74" s="197" t="n">
        <f aca="false">Algae_yield_cost_factor/U74</f>
        <v>0.0740667150841187</v>
      </c>
      <c r="BN74" s="197" t="n">
        <f aca="false">Algae_yield_cost_factor/V74</f>
        <v>0.070541165832067</v>
      </c>
      <c r="BO74" s="197" t="n">
        <f aca="false">Algae_yield_cost_factor/W74</f>
        <v>0.0681699392446716</v>
      </c>
      <c r="BP74" s="197" t="n">
        <f aca="false">Algae_yield_cost_factor/X74</f>
        <v>0.0666342892223629</v>
      </c>
      <c r="BQ74" s="197" t="n">
        <f aca="false">Algae_yield_cost_factor/Y74</f>
        <v>0.065663997476992</v>
      </c>
      <c r="BR74" s="197" t="n">
        <f aca="false">Algae_yield_cost_factor/Z74</f>
        <v>0.0650604446518647</v>
      </c>
      <c r="BS74" s="197" t="n">
        <f aca="false">Algae_yield_cost_factor/AA74</f>
        <v>0.0646886632079668</v>
      </c>
      <c r="BT74" s="197" t="n">
        <f aca="false">Algae_yield_cost_factor/AB74</f>
        <v>0.0644610260663039</v>
      </c>
      <c r="BU74" s="197" t="n">
        <f aca="false">Algae_yield_cost_factor/AC74</f>
        <v>0.0643221605846144</v>
      </c>
    </row>
    <row r="75" customFormat="false" ht="15" hidden="false" customHeight="false" outlineLevel="0" collapsed="false">
      <c r="A75" s="18" t="s">
        <v>700</v>
      </c>
      <c r="B75" s="18" t="s">
        <v>22</v>
      </c>
      <c r="C75" s="18" t="s">
        <v>686</v>
      </c>
      <c r="D75" s="18" t="s">
        <v>686</v>
      </c>
      <c r="E75" s="28" t="n">
        <v>5.782695</v>
      </c>
      <c r="F75" s="185" t="n">
        <f aca="false">E75/$B$2*$F$3/1000</f>
        <v>0.01416760275</v>
      </c>
      <c r="G75" s="18" t="n">
        <f aca="false">LOOKUP(RIGHT(D75,5),Ref!$C$4:$C$21,Ref!$E$4:$E$21)*$G$3</f>
        <v>4.5</v>
      </c>
      <c r="H75" s="218" t="n">
        <f aca="false">$E75</f>
        <v>5.782695</v>
      </c>
      <c r="I75" s="177" t="n">
        <f aca="false">$E75</f>
        <v>5.782695</v>
      </c>
      <c r="J75" s="177" t="n">
        <f aca="false">$E75</f>
        <v>5.782695</v>
      </c>
      <c r="K75" s="177" t="n">
        <f aca="false">$E75</f>
        <v>5.782695</v>
      </c>
      <c r="L75" s="177" t="n">
        <f aca="false">$E75</f>
        <v>5.782695</v>
      </c>
      <c r="M75" s="177" t="n">
        <f aca="false">M$3*$E75</f>
        <v>6.05694435969455</v>
      </c>
      <c r="N75" s="177" t="n">
        <f aca="false">N$3*$E75</f>
        <v>6.22135971831795</v>
      </c>
      <c r="O75" s="177" t="n">
        <f aca="false">O$3*$E75</f>
        <v>6.47200914116269</v>
      </c>
      <c r="P75" s="177" t="n">
        <f aca="false">P$3*$E75</f>
        <v>6.8376061643874</v>
      </c>
      <c r="Q75" s="177" t="n">
        <f aca="false">Q$3*$E75</f>
        <v>7.33790121264916</v>
      </c>
      <c r="R75" s="177" t="n">
        <f aca="false">R$3*$E75</f>
        <v>7.96589753775569</v>
      </c>
      <c r="S75" s="177" t="n">
        <f aca="false">S$3*$E75</f>
        <v>8.6740425</v>
      </c>
      <c r="T75" s="177" t="n">
        <f aca="false">T$3*$E75</f>
        <v>9.38218746224431</v>
      </c>
      <c r="U75" s="177" t="n">
        <f aca="false">U$3*$E75</f>
        <v>10.0101837873508</v>
      </c>
      <c r="V75" s="177" t="n">
        <f aca="false">V$3*$E75</f>
        <v>10.5104788356126</v>
      </c>
      <c r="W75" s="177" t="n">
        <f aca="false">W$3*$E75</f>
        <v>10.8760758588373</v>
      </c>
      <c r="X75" s="177" t="n">
        <f aca="false">X$3*$E75</f>
        <v>11.1267252816821</v>
      </c>
      <c r="Y75" s="177" t="n">
        <f aca="false">Y$3*$E75</f>
        <v>11.2911406403055</v>
      </c>
      <c r="Z75" s="177" t="n">
        <f aca="false">Z$3*$E75</f>
        <v>11.3958863097953</v>
      </c>
      <c r="AA75" s="177" t="n">
        <f aca="false">AA$3*$E75</f>
        <v>11.4613812335833</v>
      </c>
      <c r="AB75" s="177" t="n">
        <f aca="false">AB$3*$E75</f>
        <v>11.5018558617848</v>
      </c>
      <c r="AC75" s="177" t="n">
        <f aca="false">AC$3*$E75</f>
        <v>11.5266872844244</v>
      </c>
      <c r="AD75" s="219" t="n">
        <f aca="false">Algae_electricity_factor/H75</f>
        <v>0.00237667680960681</v>
      </c>
      <c r="AE75" s="220" t="n">
        <f aca="false">Algae_electricity_factor/I75</f>
        <v>0.00237667680960681</v>
      </c>
      <c r="AF75" s="220" t="n">
        <f aca="false">Algae_electricity_factor/J75</f>
        <v>0.00237667680960681</v>
      </c>
      <c r="AG75" s="220" t="n">
        <f aca="false">Algae_electricity_factor/K75</f>
        <v>0.00237667680960681</v>
      </c>
      <c r="AH75" s="220" t="n">
        <f aca="false">Algae_electricity_factor/L75</f>
        <v>0.00237667680960681</v>
      </c>
      <c r="AI75" s="220" t="n">
        <f aca="false">Algae_electricity_factor/M75</f>
        <v>0.00226906444691566</v>
      </c>
      <c r="AJ75" s="220" t="n">
        <f aca="false">Algae_electricity_factor/N75</f>
        <v>0.00220909860959544</v>
      </c>
      <c r="AK75" s="220" t="n">
        <f aca="false">Algae_electricity_factor/O75</f>
        <v>0.00212354414274826</v>
      </c>
      <c r="AL75" s="220" t="n">
        <f aca="false">Algae_electricity_factor/P75</f>
        <v>0.00201000127429255</v>
      </c>
      <c r="AM75" s="220" t="n">
        <f aca="false">Algae_electricity_factor/Q75</f>
        <v>0.00187296022462634</v>
      </c>
      <c r="AN75" s="220" t="n">
        <f aca="false">Algae_electricity_factor/R75</f>
        <v>0.0017253042784431</v>
      </c>
      <c r="AO75" s="220" t="n">
        <f aca="false">Algae_electricity_factor/S75</f>
        <v>0.00158445120640454</v>
      </c>
      <c r="AP75" s="220" t="n">
        <f aca="false">Algae_electricity_factor/T75</f>
        <v>0.00146486063712072</v>
      </c>
      <c r="AQ75" s="220" t="n">
        <f aca="false">Algae_electricity_factor/U75</f>
        <v>0.00137296151554141</v>
      </c>
      <c r="AR75" s="220" t="n">
        <f aca="false">Algae_electricity_factor/V75</f>
        <v>0.00130760903651334</v>
      </c>
      <c r="AS75" s="220" t="n">
        <f aca="false">Algae_electricity_factor/W75</f>
        <v>0.00126365403128022</v>
      </c>
      <c r="AT75" s="220" t="n">
        <f aca="false">Algae_electricity_factor/X75</f>
        <v>0.00123518796012295</v>
      </c>
      <c r="AU75" s="220" t="n">
        <f aca="false">Algae_electricity_factor/Y75</f>
        <v>0.00121720183472601</v>
      </c>
      <c r="AV75" s="220" t="n">
        <f aca="false">Algae_electricity_factor/Z75</f>
        <v>0.00120601388342353</v>
      </c>
      <c r="AW75" s="220" t="n">
        <f aca="false">Algae_electricity_factor/AA75</f>
        <v>0.00119912223696554</v>
      </c>
      <c r="AX75" s="220" t="n">
        <f aca="false">Algae_electricity_factor/AB75</f>
        <v>0.0011949025677841</v>
      </c>
      <c r="AY75" s="220" t="n">
        <f aca="false">Algae_electricity_factor/AC75</f>
        <v>0.00119232844306451</v>
      </c>
      <c r="AZ75" s="221" t="n">
        <f aca="false">Algae_yield_cost_factor/H75</f>
        <v>0.131572323853535</v>
      </c>
      <c r="BA75" s="197" t="n">
        <f aca="false">Algae_yield_cost_factor/I75</f>
        <v>0.131572323853535</v>
      </c>
      <c r="BB75" s="197" t="n">
        <f aca="false">Algae_yield_cost_factor/J75</f>
        <v>0.131572323853535</v>
      </c>
      <c r="BC75" s="197" t="n">
        <f aca="false">Algae_yield_cost_factor/K75</f>
        <v>0.131572323853535</v>
      </c>
      <c r="BD75" s="197" t="n">
        <f aca="false">Algae_yield_cost_factor/L75</f>
        <v>0.131572323853535</v>
      </c>
      <c r="BE75" s="197" t="n">
        <f aca="false">Algae_yield_cost_factor/M75</f>
        <v>0.125614926290092</v>
      </c>
      <c r="BF75" s="197" t="n">
        <f aca="false">Algae_yield_cost_factor/N75</f>
        <v>0.122295230260681</v>
      </c>
      <c r="BG75" s="197" t="n">
        <f aca="false">Algae_yield_cost_factor/O75</f>
        <v>0.117558953130516</v>
      </c>
      <c r="BH75" s="197" t="n">
        <f aca="false">Algae_yield_cost_factor/P75</f>
        <v>0.111273244026389</v>
      </c>
      <c r="BI75" s="197" t="n">
        <f aca="false">Algae_yield_cost_factor/Q75</f>
        <v>0.103686680596717</v>
      </c>
      <c r="BJ75" s="197" t="n">
        <f aca="false">Algae_yield_cost_factor/R75</f>
        <v>0.0955124787483241</v>
      </c>
      <c r="BK75" s="197" t="n">
        <f aca="false">Algae_yield_cost_factor/S75</f>
        <v>0.0877148825690234</v>
      </c>
      <c r="BL75" s="197" t="n">
        <f aca="false">Algae_yield_cost_factor/T75</f>
        <v>0.0810943740303625</v>
      </c>
      <c r="BM75" s="197" t="n">
        <f aca="false">Algae_yield_cost_factor/U75</f>
        <v>0.0760068581605506</v>
      </c>
      <c r="BN75" s="197" t="n">
        <f aca="false">Algae_yield_cost_factor/V75</f>
        <v>0.0723889587892284</v>
      </c>
      <c r="BO75" s="197" t="n">
        <f aca="false">Algae_yield_cost_factor/W75</f>
        <v>0.0699556190266913</v>
      </c>
      <c r="BP75" s="197" t="n">
        <f aca="false">Algae_yield_cost_factor/X75</f>
        <v>0.0683797433678707</v>
      </c>
      <c r="BQ75" s="197" t="n">
        <f aca="false">Algae_yield_cost_factor/Y75</f>
        <v>0.0673840352825182</v>
      </c>
      <c r="BR75" s="197" t="n">
        <f aca="false">Algae_yield_cost_factor/Z75</f>
        <v>0.0667646726724747</v>
      </c>
      <c r="BS75" s="197" t="n">
        <f aca="false">Algae_yield_cost_factor/AA75</f>
        <v>0.0663831525869548</v>
      </c>
      <c r="BT75" s="197" t="n">
        <f aca="false">Algae_yield_cost_factor/AB75</f>
        <v>0.066149552596476</v>
      </c>
      <c r="BU75" s="197" t="n">
        <f aca="false">Algae_yield_cost_factor/AC75</f>
        <v>0.0660070495982239</v>
      </c>
    </row>
    <row r="76" customFormat="false" ht="15" hidden="false" customHeight="false" outlineLevel="0" collapsed="false">
      <c r="A76" s="18" t="s">
        <v>700</v>
      </c>
      <c r="B76" s="18" t="s">
        <v>22</v>
      </c>
      <c r="C76" s="18" t="s">
        <v>688</v>
      </c>
      <c r="D76" s="18" t="s">
        <v>688</v>
      </c>
      <c r="E76" s="28" t="n">
        <v>6.331655</v>
      </c>
      <c r="F76" s="185" t="n">
        <f aca="false">E76/$B$2*$F$3/1000</f>
        <v>0.01551255475</v>
      </c>
      <c r="G76" s="18" t="n">
        <f aca="false">LOOKUP(RIGHT(D76,5),Ref!$C$4:$C$21,Ref!$E$4:$E$21)*$G$3</f>
        <v>4.5</v>
      </c>
      <c r="H76" s="218" t="n">
        <f aca="false">$E76</f>
        <v>6.331655</v>
      </c>
      <c r="I76" s="177" t="n">
        <f aca="false">$E76</f>
        <v>6.331655</v>
      </c>
      <c r="J76" s="177" t="n">
        <f aca="false">$E76</f>
        <v>6.331655</v>
      </c>
      <c r="K76" s="177" t="n">
        <f aca="false">$E76</f>
        <v>6.331655</v>
      </c>
      <c r="L76" s="177" t="n">
        <f aca="false">$E76</f>
        <v>6.331655</v>
      </c>
      <c r="M76" s="177" t="n">
        <f aca="false">M$3*$E76</f>
        <v>6.63193926703411</v>
      </c>
      <c r="N76" s="177" t="n">
        <f aca="false">N$3*$E76</f>
        <v>6.81196282482241</v>
      </c>
      <c r="O76" s="177" t="n">
        <f aca="false">O$3*$E76</f>
        <v>7.08640677723595</v>
      </c>
      <c r="P76" s="177" t="n">
        <f aca="false">P$3*$E76</f>
        <v>7.48671047993614</v>
      </c>
      <c r="Q76" s="177" t="n">
        <f aca="false">Q$3*$E76</f>
        <v>8.03449929532444</v>
      </c>
      <c r="R76" s="177" t="n">
        <f aca="false">R$3*$E76</f>
        <v>8.72211226329912</v>
      </c>
      <c r="S76" s="177" t="n">
        <f aca="false">S$3*$E76</f>
        <v>9.4974825</v>
      </c>
      <c r="T76" s="177" t="n">
        <f aca="false">T$3*$E76</f>
        <v>10.2728527367009</v>
      </c>
      <c r="U76" s="177" t="n">
        <f aca="false">U$3*$E76</f>
        <v>10.9604657046756</v>
      </c>
      <c r="V76" s="177" t="n">
        <f aca="false">V$3*$E76</f>
        <v>11.5082545200639</v>
      </c>
      <c r="W76" s="177" t="n">
        <f aca="false">W$3*$E76</f>
        <v>11.908558222764</v>
      </c>
      <c r="X76" s="177" t="n">
        <f aca="false">X$3*$E76</f>
        <v>12.1830021751776</v>
      </c>
      <c r="Y76" s="177" t="n">
        <f aca="false">Y$3*$E76</f>
        <v>12.3630257329659</v>
      </c>
      <c r="Z76" s="177" t="n">
        <f aca="false">Z$3*$E76</f>
        <v>12.477715067602</v>
      </c>
      <c r="AA76" s="177" t="n">
        <f aca="false">AA$3*$E76</f>
        <v>12.5494275237625</v>
      </c>
      <c r="AB76" s="177" t="n">
        <f aca="false">AB$3*$E76</f>
        <v>12.5937444697583</v>
      </c>
      <c r="AC76" s="177" t="n">
        <f aca="false">AC$3*$E76</f>
        <v>12.620933176981</v>
      </c>
      <c r="AD76" s="219" t="n">
        <f aca="false">Algae_electricity_factor/H76</f>
        <v>0.00217061686139394</v>
      </c>
      <c r="AE76" s="220" t="n">
        <f aca="false">Algae_electricity_factor/I76</f>
        <v>0.00217061686139394</v>
      </c>
      <c r="AF76" s="220" t="n">
        <f aca="false">Algae_electricity_factor/J76</f>
        <v>0.00217061686139394</v>
      </c>
      <c r="AG76" s="220" t="n">
        <f aca="false">Algae_electricity_factor/K76</f>
        <v>0.00217061686139394</v>
      </c>
      <c r="AH76" s="220" t="n">
        <f aca="false">Algae_electricity_factor/L76</f>
        <v>0.00217061686139394</v>
      </c>
      <c r="AI76" s="220" t="n">
        <f aca="false">Algae_electricity_factor/M76</f>
        <v>0.00207233458422118</v>
      </c>
      <c r="AJ76" s="220" t="n">
        <f aca="false">Algae_electricity_factor/N76</f>
        <v>0.00201756783719494</v>
      </c>
      <c r="AK76" s="220" t="n">
        <f aca="false">Algae_electricity_factor/O76</f>
        <v>0.0019394310170958</v>
      </c>
      <c r="AL76" s="220" t="n">
        <f aca="false">Algae_electricity_factor/P76</f>
        <v>0.00183573241417057</v>
      </c>
      <c r="AM76" s="220" t="n">
        <f aca="false">Algae_electricity_factor/Q76</f>
        <v>0.0017105729428002</v>
      </c>
      <c r="AN76" s="220" t="n">
        <f aca="false">Algae_electricity_factor/R76</f>
        <v>0.00157571889568075</v>
      </c>
      <c r="AO76" s="220" t="n">
        <f aca="false">Algae_electricity_factor/S76</f>
        <v>0.00144707790759596</v>
      </c>
      <c r="AP76" s="220" t="n">
        <f aca="false">Algae_electricity_factor/T76</f>
        <v>0.00133785594476876</v>
      </c>
      <c r="AQ76" s="220" t="n">
        <f aca="false">Algae_electricity_factor/U76</f>
        <v>0.00125392455702557</v>
      </c>
      <c r="AR76" s="220" t="n">
        <f aca="false">Algae_electricity_factor/V76</f>
        <v>0.00119423819481644</v>
      </c>
      <c r="AS76" s="220" t="n">
        <f aca="false">Algae_electricity_factor/W76</f>
        <v>0.00115409412679844</v>
      </c>
      <c r="AT76" s="220" t="n">
        <f aca="false">Algae_electricity_factor/X76</f>
        <v>0.00112809608878929</v>
      </c>
      <c r="AU76" s="220" t="n">
        <f aca="false">Algae_electricity_factor/Y76</f>
        <v>0.00111166937612061</v>
      </c>
      <c r="AV76" s="220" t="n">
        <f aca="false">Algae_electricity_factor/Z76</f>
        <v>0.0011014514299348</v>
      </c>
      <c r="AW76" s="220" t="n">
        <f aca="false">Algae_electricity_factor/AA76</f>
        <v>0.00109515729522368</v>
      </c>
      <c r="AX76" s="220" t="n">
        <f aca="false">Algae_electricity_factor/AB76</f>
        <v>0.00109130347503335</v>
      </c>
      <c r="AY76" s="220" t="n">
        <f aca="false">Algae_electricity_factor/AC76</f>
        <v>0.00108895252916764</v>
      </c>
      <c r="AZ76" s="221" t="n">
        <f aca="false">Algae_yield_cost_factor/H76</f>
        <v>0.120164888846</v>
      </c>
      <c r="BA76" s="197" t="n">
        <f aca="false">Algae_yield_cost_factor/I76</f>
        <v>0.120164888846</v>
      </c>
      <c r="BB76" s="197" t="n">
        <f aca="false">Algae_yield_cost_factor/J76</f>
        <v>0.120164888846</v>
      </c>
      <c r="BC76" s="197" t="n">
        <f aca="false">Algae_yield_cost_factor/K76</f>
        <v>0.120164888846</v>
      </c>
      <c r="BD76" s="197" t="n">
        <f aca="false">Algae_yield_cost_factor/L76</f>
        <v>0.120164888846</v>
      </c>
      <c r="BE76" s="197" t="n">
        <f aca="false">Algae_yield_cost_factor/M76</f>
        <v>0.114724002837028</v>
      </c>
      <c r="BF76" s="197" t="n">
        <f aca="false">Algae_yield_cost_factor/N76</f>
        <v>0.111692127343055</v>
      </c>
      <c r="BG76" s="197" t="n">
        <f aca="false">Algae_yield_cost_factor/O76</f>
        <v>0.107366489562851</v>
      </c>
      <c r="BH76" s="197" t="n">
        <f aca="false">Algae_yield_cost_factor/P76</f>
        <v>0.101625756909556</v>
      </c>
      <c r="BI76" s="197" t="n">
        <f aca="false">Algae_yield_cost_factor/Q76</f>
        <v>0.0946969551330945</v>
      </c>
      <c r="BJ76" s="197" t="n">
        <f aca="false">Algae_yield_cost_factor/R76</f>
        <v>0.0872314637003343</v>
      </c>
      <c r="BK76" s="197" t="n">
        <f aca="false">Algae_yield_cost_factor/S76</f>
        <v>0.0801099258973331</v>
      </c>
      <c r="BL76" s="197" t="n">
        <f aca="false">Algae_yield_cost_factor/T76</f>
        <v>0.0740634212119118</v>
      </c>
      <c r="BM76" s="197" t="n">
        <f aca="false">Algae_yield_cost_factor/U76</f>
        <v>0.0694169973965298</v>
      </c>
      <c r="BN76" s="197" t="n">
        <f aca="false">Algae_yield_cost_factor/V76</f>
        <v>0.0661127730499651</v>
      </c>
      <c r="BO76" s="197" t="n">
        <f aca="false">Algae_yield_cost_factor/W76</f>
        <v>0.0638904059629833</v>
      </c>
      <c r="BP76" s="197" t="n">
        <f aca="false">Algae_yield_cost_factor/X76</f>
        <v>0.062451160095531</v>
      </c>
      <c r="BQ76" s="197" t="n">
        <f aca="false">Algae_yield_cost_factor/Y76</f>
        <v>0.0615417807679101</v>
      </c>
      <c r="BR76" s="197" t="n">
        <f aca="false">Algae_yield_cost_factor/Z76</f>
        <v>0.0609761174352924</v>
      </c>
      <c r="BS76" s="197" t="n">
        <f aca="false">Algae_yield_cost_factor/AA76</f>
        <v>0.0606276754732879</v>
      </c>
      <c r="BT76" s="197" t="n">
        <f aca="false">Algae_yield_cost_factor/AB76</f>
        <v>0.0604143288053248</v>
      </c>
      <c r="BU76" s="197" t="n">
        <f aca="false">Algae_yield_cost_factor/AC76</f>
        <v>0.0602841809410654</v>
      </c>
    </row>
    <row r="77" customFormat="false" ht="15" hidden="false" customHeight="false" outlineLevel="0" collapsed="false">
      <c r="A77" s="18" t="s">
        <v>701</v>
      </c>
      <c r="B77" s="18" t="s">
        <v>22</v>
      </c>
      <c r="C77" s="18" t="s">
        <v>691</v>
      </c>
      <c r="D77" s="18" t="s">
        <v>691</v>
      </c>
      <c r="E77" s="28" t="n">
        <v>6.452105</v>
      </c>
      <c r="F77" s="185" t="n">
        <f aca="false">E77/$B$2*$F$3/1000</f>
        <v>0.01580765725</v>
      </c>
      <c r="G77" s="18" t="n">
        <f aca="false">LOOKUP(RIGHT(D77,5),Ref!$C$4:$C$21,Ref!$E$4:$E$21)*$G$3</f>
        <v>2</v>
      </c>
      <c r="H77" s="218" t="n">
        <f aca="false">$E77</f>
        <v>6.452105</v>
      </c>
      <c r="I77" s="177" t="n">
        <f aca="false">$E77</f>
        <v>6.452105</v>
      </c>
      <c r="J77" s="177" t="n">
        <f aca="false">$E77</f>
        <v>6.452105</v>
      </c>
      <c r="K77" s="177" t="n">
        <f aca="false">$E77</f>
        <v>6.452105</v>
      </c>
      <c r="L77" s="177" t="n">
        <f aca="false">$E77</f>
        <v>6.452105</v>
      </c>
      <c r="M77" s="177" t="n">
        <f aca="false">M$3*$E77</f>
        <v>6.75810171345835</v>
      </c>
      <c r="N77" s="177" t="n">
        <f aca="false">N$3*$E77</f>
        <v>6.94154994260597</v>
      </c>
      <c r="O77" s="177" t="n">
        <f aca="false">O$3*$E77</f>
        <v>7.22121476919352</v>
      </c>
      <c r="P77" s="177" t="n">
        <f aca="false">P$3*$E77</f>
        <v>7.62913363427861</v>
      </c>
      <c r="Q77" s="177" t="n">
        <f aca="false">Q$3*$E77</f>
        <v>8.18734328952845</v>
      </c>
      <c r="R77" s="177" t="n">
        <f aca="false">R$3*$E77</f>
        <v>8.88803703685586</v>
      </c>
      <c r="S77" s="177" t="n">
        <f aca="false">S$3*$E77</f>
        <v>9.6781575</v>
      </c>
      <c r="T77" s="177" t="n">
        <f aca="false">T$3*$E77</f>
        <v>10.4682779631441</v>
      </c>
      <c r="U77" s="177" t="n">
        <f aca="false">U$3*$E77</f>
        <v>11.1689717104715</v>
      </c>
      <c r="V77" s="177" t="n">
        <f aca="false">V$3*$E77</f>
        <v>11.7271813657214</v>
      </c>
      <c r="W77" s="177" t="n">
        <f aca="false">W$3*$E77</f>
        <v>12.1351002308065</v>
      </c>
      <c r="X77" s="177" t="n">
        <f aca="false">X$3*$E77</f>
        <v>12.414765057394</v>
      </c>
      <c r="Y77" s="177" t="n">
        <f aca="false">Y$3*$E77</f>
        <v>12.5982132865417</v>
      </c>
      <c r="Z77" s="177" t="n">
        <f aca="false">Z$3*$E77</f>
        <v>12.715084409408</v>
      </c>
      <c r="AA77" s="177" t="n">
        <f aca="false">AA$3*$E77</f>
        <v>12.7881610847725</v>
      </c>
      <c r="AB77" s="177" t="n">
        <f aca="false">AB$3*$E77</f>
        <v>12.8333210925184</v>
      </c>
      <c r="AC77" s="177" t="n">
        <f aca="false">AC$3*$E77</f>
        <v>12.8610270230872</v>
      </c>
      <c r="AD77" s="219" t="n">
        <f aca="false">Algae_electricity_factor/H77</f>
        <v>0.00213009507804496</v>
      </c>
      <c r="AE77" s="220" t="n">
        <f aca="false">Algae_electricity_factor/I77</f>
        <v>0.00213009507804496</v>
      </c>
      <c r="AF77" s="220" t="n">
        <f aca="false">Algae_electricity_factor/J77</f>
        <v>0.00213009507804496</v>
      </c>
      <c r="AG77" s="220" t="n">
        <f aca="false">Algae_electricity_factor/K77</f>
        <v>0.00213009507804496</v>
      </c>
      <c r="AH77" s="220" t="n">
        <f aca="false">Algae_electricity_factor/L77</f>
        <v>0.00213009507804496</v>
      </c>
      <c r="AI77" s="220" t="n">
        <f aca="false">Algae_electricity_factor/M77</f>
        <v>0.0020336475664697</v>
      </c>
      <c r="AJ77" s="220" t="n">
        <f aca="false">Algae_electricity_factor/N77</f>
        <v>0.00197990322293492</v>
      </c>
      <c r="AK77" s="220" t="n">
        <f aca="false">Algae_electricity_factor/O77</f>
        <v>0.00190322508647173</v>
      </c>
      <c r="AL77" s="220" t="n">
        <f aca="false">Algae_electricity_factor/P77</f>
        <v>0.00180146236287927</v>
      </c>
      <c r="AM77" s="220" t="n">
        <f aca="false">Algae_electricity_factor/Q77</f>
        <v>0.00167863940933162</v>
      </c>
      <c r="AN77" s="220" t="n">
        <f aca="false">Algae_electricity_factor/R77</f>
        <v>0.00154630286153612</v>
      </c>
      <c r="AO77" s="220" t="n">
        <f aca="false">Algae_electricity_factor/S77</f>
        <v>0.0014200633853633</v>
      </c>
      <c r="AP77" s="220" t="n">
        <f aca="false">Algae_electricity_factor/T77</f>
        <v>0.00131288041375254</v>
      </c>
      <c r="AQ77" s="220" t="n">
        <f aca="false">Algae_electricity_factor/U77</f>
        <v>0.00123051588452354</v>
      </c>
      <c r="AR77" s="220" t="n">
        <f aca="false">Algae_electricity_factor/V77</f>
        <v>0.00117194376678627</v>
      </c>
      <c r="AS77" s="220" t="n">
        <f aca="false">Algae_electricity_factor/W77</f>
        <v>0.00113254912131994</v>
      </c>
      <c r="AT77" s="220" t="n">
        <f aca="false">Algae_electricity_factor/X77</f>
        <v>0.00110703642316161</v>
      </c>
      <c r="AU77" s="220" t="n">
        <f aca="false">Algae_electricity_factor/Y77</f>
        <v>0.00109091636972135</v>
      </c>
      <c r="AV77" s="220" t="n">
        <f aca="false">Algae_electricity_factor/Z77</f>
        <v>0.00108088917548673</v>
      </c>
      <c r="AW77" s="220" t="n">
        <f aca="false">Algae_electricity_factor/AA77</f>
        <v>0.00107471254173475</v>
      </c>
      <c r="AX77" s="220" t="n">
        <f aca="false">Algae_electricity_factor/AB77</f>
        <v>0.00107093066591636</v>
      </c>
      <c r="AY77" s="220" t="n">
        <f aca="false">Algae_electricity_factor/AC77</f>
        <v>0.00106862360827466</v>
      </c>
      <c r="AZ77" s="221" t="n">
        <f aca="false">Algae_yield_cost_factor/H77</f>
        <v>0.117921611518445</v>
      </c>
      <c r="BA77" s="197" t="n">
        <f aca="false">Algae_yield_cost_factor/I77</f>
        <v>0.117921611518445</v>
      </c>
      <c r="BB77" s="197" t="n">
        <f aca="false">Algae_yield_cost_factor/J77</f>
        <v>0.117921611518445</v>
      </c>
      <c r="BC77" s="197" t="n">
        <f aca="false">Algae_yield_cost_factor/K77</f>
        <v>0.117921611518445</v>
      </c>
      <c r="BD77" s="197" t="n">
        <f aca="false">Algae_yield_cost_factor/L77</f>
        <v>0.117921611518445</v>
      </c>
      <c r="BE77" s="197" t="n">
        <f aca="false">Algae_yield_cost_factor/M77</f>
        <v>0.112582297743617</v>
      </c>
      <c r="BF77" s="197" t="n">
        <f aca="false">Algae_yield_cost_factor/N77</f>
        <v>0.109607022289979</v>
      </c>
      <c r="BG77" s="197" t="n">
        <f aca="false">Algae_yield_cost_factor/O77</f>
        <v>0.105362136926332</v>
      </c>
      <c r="BH77" s="197" t="n">
        <f aca="false">Algae_yield_cost_factor/P77</f>
        <v>0.0997285741421098</v>
      </c>
      <c r="BI77" s="197" t="n">
        <f aca="false">Algae_yield_cost_factor/Q77</f>
        <v>0.0929291214965091</v>
      </c>
      <c r="BJ77" s="197" t="n">
        <f aca="false">Algae_yield_cost_factor/R77</f>
        <v>0.085602998292114</v>
      </c>
      <c r="BK77" s="197" t="n">
        <f aca="false">Algae_yield_cost_factor/S77</f>
        <v>0.0786144076789635</v>
      </c>
      <c r="BL77" s="197" t="n">
        <f aca="false">Algae_yield_cost_factor/T77</f>
        <v>0.0726807811146141</v>
      </c>
      <c r="BM77" s="197" t="n">
        <f aca="false">Algae_yield_cost_factor/U77</f>
        <v>0.068121098254093</v>
      </c>
      <c r="BN77" s="197" t="n">
        <f aca="false">Algae_yield_cost_factor/V77</f>
        <v>0.0648785582450498</v>
      </c>
      <c r="BO77" s="197" t="n">
        <f aca="false">Algae_yield_cost_factor/W77</f>
        <v>0.0626976790315026</v>
      </c>
      <c r="BP77" s="197" t="n">
        <f aca="false">Algae_yield_cost_factor/X77</f>
        <v>0.0612853014752037</v>
      </c>
      <c r="BQ77" s="197" t="n">
        <f aca="false">Algae_yield_cost_factor/Y77</f>
        <v>0.0603928987373953</v>
      </c>
      <c r="BR77" s="197" t="n">
        <f aca="false">Algae_yield_cost_factor/Z77</f>
        <v>0.0598377953923186</v>
      </c>
      <c r="BS77" s="197" t="n">
        <f aca="false">Algae_yield_cost_factor/AA77</f>
        <v>0.0594958582584785</v>
      </c>
      <c r="BT77" s="197" t="n">
        <f aca="false">Algae_yield_cost_factor/AB77</f>
        <v>0.0592864944156796</v>
      </c>
      <c r="BU77" s="197" t="n">
        <f aca="false">Algae_yield_cost_factor/AC77</f>
        <v>0.059158776194188</v>
      </c>
    </row>
    <row r="78" customFormat="false" ht="15" hidden="false" customHeight="false" outlineLevel="0" collapsed="false">
      <c r="A78" s="18" t="s">
        <v>701</v>
      </c>
      <c r="B78" s="18" t="s">
        <v>22</v>
      </c>
      <c r="C78" s="18" t="s">
        <v>693</v>
      </c>
      <c r="D78" s="18" t="s">
        <v>693</v>
      </c>
      <c r="E78" s="28" t="n">
        <v>6.78044075</v>
      </c>
      <c r="F78" s="185" t="n">
        <f aca="false">E78/$B$2*$F$3/1000</f>
        <v>0.0166120798375</v>
      </c>
      <c r="G78" s="18" t="n">
        <f aca="false">LOOKUP(RIGHT(D78,5),Ref!$C$4:$C$21,Ref!$E$4:$E$21)*$G$3</f>
        <v>3</v>
      </c>
      <c r="H78" s="218" t="n">
        <f aca="false">$E78</f>
        <v>6.78044075</v>
      </c>
      <c r="I78" s="177" t="n">
        <f aca="false">$E78</f>
        <v>6.78044075</v>
      </c>
      <c r="J78" s="177" t="n">
        <f aca="false">$E78</f>
        <v>6.78044075</v>
      </c>
      <c r="K78" s="177" t="n">
        <f aca="false">$E78</f>
        <v>6.78044075</v>
      </c>
      <c r="L78" s="177" t="n">
        <f aca="false">$E78</f>
        <v>6.78044075</v>
      </c>
      <c r="M78" s="177" t="n">
        <f aca="false">M$3*$E78</f>
        <v>7.10200907309751</v>
      </c>
      <c r="N78" s="177" t="n">
        <f aca="false">N$3*$E78</f>
        <v>7.29479264503688</v>
      </c>
      <c r="O78" s="177" t="n">
        <f aca="false">O$3*$E78</f>
        <v>7.58868909999784</v>
      </c>
      <c r="P78" s="177" t="n">
        <f aca="false">P$3*$E78</f>
        <v>8.01736620545671</v>
      </c>
      <c r="Q78" s="177" t="n">
        <f aca="false">Q$3*$E78</f>
        <v>8.60398212282004</v>
      </c>
      <c r="R78" s="177" t="n">
        <f aca="false">R$3*$E78</f>
        <v>9.3403328855012</v>
      </c>
      <c r="S78" s="177" t="n">
        <f aca="false">S$3*$E78</f>
        <v>10.170661125</v>
      </c>
      <c r="T78" s="177" t="n">
        <f aca="false">T$3*$E78</f>
        <v>11.0009893644988</v>
      </c>
      <c r="U78" s="177" t="n">
        <f aca="false">U$3*$E78</f>
        <v>11.73734012718</v>
      </c>
      <c r="V78" s="177" t="n">
        <f aca="false">V$3*$E78</f>
        <v>12.3239560445433</v>
      </c>
      <c r="W78" s="177" t="n">
        <f aca="false">W$3*$E78</f>
        <v>12.7526331500022</v>
      </c>
      <c r="X78" s="177" t="n">
        <f aca="false">X$3*$E78</f>
        <v>13.0465296049631</v>
      </c>
      <c r="Y78" s="177" t="n">
        <f aca="false">Y$3*$E78</f>
        <v>13.2393131769025</v>
      </c>
      <c r="Z78" s="177" t="n">
        <f aca="false">Z$3*$E78</f>
        <v>13.3621316561401</v>
      </c>
      <c r="AA78" s="177" t="n">
        <f aca="false">AA$3*$E78</f>
        <v>13.438927069035</v>
      </c>
      <c r="AB78" s="177" t="n">
        <f aca="false">AB$3*$E78</f>
        <v>13.4863851864696</v>
      </c>
      <c r="AC78" s="177" t="n">
        <f aca="false">AC$3*$E78</f>
        <v>13.5155010208593</v>
      </c>
      <c r="AD78" s="219" t="n">
        <f aca="false">Algae_electricity_factor/H78</f>
        <v>0.00202694745227724</v>
      </c>
      <c r="AE78" s="220" t="n">
        <f aca="false">Algae_electricity_factor/I78</f>
        <v>0.00202694745227724</v>
      </c>
      <c r="AF78" s="220" t="n">
        <f aca="false">Algae_electricity_factor/J78</f>
        <v>0.00202694745227724</v>
      </c>
      <c r="AG78" s="220" t="n">
        <f aca="false">Algae_electricity_factor/K78</f>
        <v>0.00202694745227724</v>
      </c>
      <c r="AH78" s="220" t="n">
        <f aca="false">Algae_electricity_factor/L78</f>
        <v>0.00202694745227724</v>
      </c>
      <c r="AI78" s="220" t="n">
        <f aca="false">Algae_electricity_factor/M78</f>
        <v>0.00193517031055201</v>
      </c>
      <c r="AJ78" s="220" t="n">
        <f aca="false">Algae_electricity_factor/N78</f>
        <v>0.00188402848062857</v>
      </c>
      <c r="AK78" s="220" t="n">
        <f aca="false">Algae_electricity_factor/O78</f>
        <v>0.00181106340270722</v>
      </c>
      <c r="AL78" s="220" t="n">
        <f aca="false">Algae_electricity_factor/P78</f>
        <v>0.00171422843254624</v>
      </c>
      <c r="AM78" s="220" t="n">
        <f aca="false">Algae_electricity_factor/Q78</f>
        <v>0.00159735305203362</v>
      </c>
      <c r="AN78" s="220" t="n">
        <f aca="false">Algae_electricity_factor/R78</f>
        <v>0.001471424763122</v>
      </c>
      <c r="AO78" s="220" t="n">
        <f aca="false">Algae_electricity_factor/S78</f>
        <v>0.00135129830151816</v>
      </c>
      <c r="AP78" s="220" t="n">
        <f aca="false">Algae_electricity_factor/T78</f>
        <v>0.0012493055531788</v>
      </c>
      <c r="AQ78" s="220" t="n">
        <f aca="false">Algae_electricity_factor/U78</f>
        <v>0.00117092944011254</v>
      </c>
      <c r="AR78" s="220" t="n">
        <f aca="false">Algae_electricity_factor/V78</f>
        <v>0.00111519361590182</v>
      </c>
      <c r="AS78" s="220" t="n">
        <f aca="false">Algae_electricity_factor/W78</f>
        <v>0.00107770661492971</v>
      </c>
      <c r="AT78" s="220" t="n">
        <f aca="false">Algae_electricity_factor/X78</f>
        <v>0.00105342934248974</v>
      </c>
      <c r="AU78" s="220" t="n">
        <f aca="false">Algae_electricity_factor/Y78</f>
        <v>0.00103808988577342</v>
      </c>
      <c r="AV78" s="220" t="n">
        <f aca="false">Algae_electricity_factor/Z78</f>
        <v>0.00102854824792973</v>
      </c>
      <c r="AW78" s="220" t="n">
        <f aca="false">Algae_electricity_factor/AA78</f>
        <v>0.00102267071120553</v>
      </c>
      <c r="AX78" s="220" t="n">
        <f aca="false">Algae_electricity_factor/AB78</f>
        <v>0.00101907196876726</v>
      </c>
      <c r="AY78" s="220" t="n">
        <f aca="false">Algae_electricity_factor/AC78</f>
        <v>0.00101687662797834</v>
      </c>
      <c r="AZ78" s="221" t="n">
        <f aca="false">Algae_yield_cost_factor/H78</f>
        <v>0.112211380843674</v>
      </c>
      <c r="BA78" s="197" t="n">
        <f aca="false">Algae_yield_cost_factor/I78</f>
        <v>0.112211380843674</v>
      </c>
      <c r="BB78" s="197" t="n">
        <f aca="false">Algae_yield_cost_factor/J78</f>
        <v>0.112211380843674</v>
      </c>
      <c r="BC78" s="197" t="n">
        <f aca="false">Algae_yield_cost_factor/K78</f>
        <v>0.112211380843674</v>
      </c>
      <c r="BD78" s="197" t="n">
        <f aca="false">Algae_yield_cost_factor/L78</f>
        <v>0.112211380843674</v>
      </c>
      <c r="BE78" s="197" t="n">
        <f aca="false">Algae_yield_cost_factor/M78</f>
        <v>0.1071306177527</v>
      </c>
      <c r="BF78" s="197" t="n">
        <f aca="false">Algae_yield_cost_factor/N78</f>
        <v>0.104299416900338</v>
      </c>
      <c r="BG78" s="197" t="n">
        <f aca="false">Algae_yield_cost_factor/O78</f>
        <v>0.100260085669663</v>
      </c>
      <c r="BH78" s="197" t="n">
        <f aca="false">Algae_yield_cost_factor/P78</f>
        <v>0.0948993222697473</v>
      </c>
      <c r="BI78" s="197" t="n">
        <f aca="false">Algae_yield_cost_factor/Q78</f>
        <v>0.0884291260053019</v>
      </c>
      <c r="BJ78" s="197" t="n">
        <f aca="false">Algae_yield_cost_factor/R78</f>
        <v>0.0814577626528983</v>
      </c>
      <c r="BK78" s="197" t="n">
        <f aca="false">Algae_yield_cost_factor/S78</f>
        <v>0.0748075872291161</v>
      </c>
      <c r="BL78" s="197" t="n">
        <f aca="false">Algae_yield_cost_factor/T78</f>
        <v>0.0691612903237164</v>
      </c>
      <c r="BM78" s="197" t="n">
        <f aca="false">Algae_yield_cost_factor/U78</f>
        <v>0.0648224053356303</v>
      </c>
      <c r="BN78" s="197" t="n">
        <f aca="false">Algae_yield_cost_factor/V78</f>
        <v>0.0617368819343605</v>
      </c>
      <c r="BO78" s="197" t="n">
        <f aca="false">Algae_yield_cost_factor/W78</f>
        <v>0.0596616095152152</v>
      </c>
      <c r="BP78" s="197" t="n">
        <f aca="false">Algae_yield_cost_factor/X78</f>
        <v>0.0583176248645295</v>
      </c>
      <c r="BQ78" s="197" t="n">
        <f aca="false">Algae_yield_cost_factor/Y78</f>
        <v>0.0574684357957175</v>
      </c>
      <c r="BR78" s="197" t="n">
        <f aca="false">Algae_yield_cost_factor/Z78</f>
        <v>0.0569402127494081</v>
      </c>
      <c r="BS78" s="197" t="n">
        <f aca="false">Algae_yield_cost_factor/AA78</f>
        <v>0.0566148335635586</v>
      </c>
      <c r="BT78" s="197" t="n">
        <f aca="false">Algae_yield_cost_factor/AB78</f>
        <v>0.0564156079458225</v>
      </c>
      <c r="BU78" s="197" t="n">
        <f aca="false">Algae_yield_cost_factor/AC78</f>
        <v>0.0562940743455949</v>
      </c>
    </row>
    <row r="79" customFormat="false" ht="15" hidden="false" customHeight="false" outlineLevel="0" collapsed="false">
      <c r="A79" s="18" t="s">
        <v>701</v>
      </c>
      <c r="B79" s="18" t="s">
        <v>22</v>
      </c>
      <c r="C79" s="18" t="s">
        <v>694</v>
      </c>
      <c r="D79" s="18" t="s">
        <v>694</v>
      </c>
      <c r="E79" s="28" t="n">
        <v>6.95471</v>
      </c>
      <c r="F79" s="185" t="n">
        <f aca="false">E79/$B$2*$F$3/1000</f>
        <v>0.0170390395</v>
      </c>
      <c r="G79" s="18" t="n">
        <f aca="false">LOOKUP(RIGHT(D79,5),Ref!$C$4:$C$21,Ref!$E$4:$E$21)*$G$3</f>
        <v>3</v>
      </c>
      <c r="H79" s="218" t="n">
        <f aca="false">$E79</f>
        <v>6.95471</v>
      </c>
      <c r="I79" s="177" t="n">
        <f aca="false">$E79</f>
        <v>6.95471</v>
      </c>
      <c r="J79" s="177" t="n">
        <f aca="false">$E79</f>
        <v>6.95471</v>
      </c>
      <c r="K79" s="177" t="n">
        <f aca="false">$E79</f>
        <v>6.95471</v>
      </c>
      <c r="L79" s="177" t="n">
        <f aca="false">$E79</f>
        <v>6.95471</v>
      </c>
      <c r="M79" s="177" t="n">
        <f aca="false">M$3*$E79</f>
        <v>7.28454319444676</v>
      </c>
      <c r="N79" s="177" t="n">
        <f aca="false">N$3*$E79</f>
        <v>7.48228164317554</v>
      </c>
      <c r="O79" s="177" t="n">
        <f aca="false">O$3*$E79</f>
        <v>7.78373175381644</v>
      </c>
      <c r="P79" s="177" t="n">
        <f aca="false">P$3*$E79</f>
        <v>8.22342661467131</v>
      </c>
      <c r="Q79" s="177" t="n">
        <f aca="false">Q$3*$E79</f>
        <v>8.82511959261612</v>
      </c>
      <c r="R79" s="177" t="n">
        <f aca="false">R$3*$E79</f>
        <v>9.58039586469715</v>
      </c>
      <c r="S79" s="177" t="n">
        <f aca="false">S$3*$E79</f>
        <v>10.432065</v>
      </c>
      <c r="T79" s="177" t="n">
        <f aca="false">T$3*$E79</f>
        <v>11.2837341353029</v>
      </c>
      <c r="U79" s="177" t="n">
        <f aca="false">U$3*$E79</f>
        <v>12.0390104073839</v>
      </c>
      <c r="V79" s="177" t="n">
        <f aca="false">V$3*$E79</f>
        <v>12.6407033853287</v>
      </c>
      <c r="W79" s="177" t="n">
        <f aca="false">W$3*$E79</f>
        <v>13.0803982461836</v>
      </c>
      <c r="X79" s="177" t="n">
        <f aca="false">X$3*$E79</f>
        <v>13.3818483568245</v>
      </c>
      <c r="Y79" s="177" t="n">
        <f aca="false">Y$3*$E79</f>
        <v>13.5795868055532</v>
      </c>
      <c r="Z79" s="177" t="n">
        <f aca="false">Z$3*$E79</f>
        <v>13.7055619356712</v>
      </c>
      <c r="AA79" s="177" t="n">
        <f aca="false">AA$3*$E79</f>
        <v>13.7843311257145</v>
      </c>
      <c r="AB79" s="177" t="n">
        <f aca="false">AB$3*$E79</f>
        <v>13.8330090002176</v>
      </c>
      <c r="AC79" s="177" t="n">
        <f aca="false">AC$3*$E79</f>
        <v>13.8628731627484</v>
      </c>
      <c r="AD79" s="219" t="n">
        <f aca="false">Algae_electricity_factor/H79</f>
        <v>0.00197615674895564</v>
      </c>
      <c r="AE79" s="220" t="n">
        <f aca="false">Algae_electricity_factor/I79</f>
        <v>0.00197615674895564</v>
      </c>
      <c r="AF79" s="220" t="n">
        <f aca="false">Algae_electricity_factor/J79</f>
        <v>0.00197615674895564</v>
      </c>
      <c r="AG79" s="220" t="n">
        <f aca="false">Algae_electricity_factor/K79</f>
        <v>0.00197615674895564</v>
      </c>
      <c r="AH79" s="220" t="n">
        <f aca="false">Algae_electricity_factor/L79</f>
        <v>0.00197615674895564</v>
      </c>
      <c r="AI79" s="220" t="n">
        <f aca="false">Algae_electricity_factor/M79</f>
        <v>0.00188667933412852</v>
      </c>
      <c r="AJ79" s="220" t="n">
        <f aca="false">Algae_electricity_factor/N79</f>
        <v>0.00183681900240477</v>
      </c>
      <c r="AK79" s="220" t="n">
        <f aca="false">Algae_electricity_factor/O79</f>
        <v>0.00176568226375358</v>
      </c>
      <c r="AL79" s="220" t="n">
        <f aca="false">Algae_electricity_factor/P79</f>
        <v>0.00167127375819339</v>
      </c>
      <c r="AM79" s="220" t="n">
        <f aca="false">Algae_electricity_factor/Q79</f>
        <v>0.00155732700948646</v>
      </c>
      <c r="AN79" s="220" t="n">
        <f aca="false">Algae_electricity_factor/R79</f>
        <v>0.0014345541977209</v>
      </c>
      <c r="AO79" s="220" t="n">
        <f aca="false">Algae_electricity_factor/S79</f>
        <v>0.00131743783263709</v>
      </c>
      <c r="AP79" s="220" t="n">
        <f aca="false">Algae_electricity_factor/T79</f>
        <v>0.00121800079111492</v>
      </c>
      <c r="AQ79" s="220" t="n">
        <f aca="false">Algae_electricity_factor/U79</f>
        <v>0.00114158860558007</v>
      </c>
      <c r="AR79" s="220" t="n">
        <f aca="false">Algae_electricity_factor/V79</f>
        <v>0.00108724939464054</v>
      </c>
      <c r="AS79" s="220" t="n">
        <f aca="false">Algae_electricity_factor/W79</f>
        <v>0.00105070173284206</v>
      </c>
      <c r="AT79" s="220" t="n">
        <f aca="false">Algae_electricity_factor/X79</f>
        <v>0.00102703279375605</v>
      </c>
      <c r="AU79" s="220" t="n">
        <f aca="false">Algae_electricity_factor/Y79</f>
        <v>0.0010120777090146</v>
      </c>
      <c r="AV79" s="220" t="n">
        <f aca="false">Algae_electricity_factor/Z79</f>
        <v>0.00100277516296206</v>
      </c>
      <c r="AW79" s="220" t="n">
        <f aca="false">Algae_electricity_factor/AA79</f>
        <v>0.000997044903970038</v>
      </c>
      <c r="AX79" s="220" t="n">
        <f aca="false">Algae_electricity_factor/AB79</f>
        <v>0.000993536337850505</v>
      </c>
      <c r="AY79" s="220" t="n">
        <f aca="false">Algae_electricity_factor/AC79</f>
        <v>0.00099139600731978</v>
      </c>
      <c r="AZ79" s="221" t="n">
        <f aca="false">Algae_yield_cost_factor/H79</f>
        <v>0.109399618285481</v>
      </c>
      <c r="BA79" s="197" t="n">
        <f aca="false">Algae_yield_cost_factor/I79</f>
        <v>0.109399618285481</v>
      </c>
      <c r="BB79" s="197" t="n">
        <f aca="false">Algae_yield_cost_factor/J79</f>
        <v>0.109399618285481</v>
      </c>
      <c r="BC79" s="197" t="n">
        <f aca="false">Algae_yield_cost_factor/K79</f>
        <v>0.109399618285481</v>
      </c>
      <c r="BD79" s="197" t="n">
        <f aca="false">Algae_yield_cost_factor/L79</f>
        <v>0.109399618285481</v>
      </c>
      <c r="BE79" s="197" t="n">
        <f aca="false">Algae_yield_cost_factor/M79</f>
        <v>0.104446167587589</v>
      </c>
      <c r="BF79" s="197" t="n">
        <f aca="false">Algae_yield_cost_factor/N79</f>
        <v>0.10168591020363</v>
      </c>
      <c r="BG79" s="197" t="n">
        <f aca="false">Algae_yield_cost_factor/O79</f>
        <v>0.0977477954469807</v>
      </c>
      <c r="BH79" s="197" t="n">
        <f aca="false">Algae_yield_cost_factor/P79</f>
        <v>0.0925213606124737</v>
      </c>
      <c r="BI79" s="197" t="n">
        <f aca="false">Algae_yield_cost_factor/Q79</f>
        <v>0.0862132927833416</v>
      </c>
      <c r="BJ79" s="197" t="n">
        <f aca="false">Algae_yield_cost_factor/R79</f>
        <v>0.0794166159761572</v>
      </c>
      <c r="BK79" s="197" t="n">
        <f aca="false">Algae_yield_cost_factor/S79</f>
        <v>0.0729330788569873</v>
      </c>
      <c r="BL79" s="197" t="n">
        <f aca="false">Algae_yield_cost_factor/T79</f>
        <v>0.0674282653386708</v>
      </c>
      <c r="BM79" s="197" t="n">
        <f aca="false">Algae_yield_cost_factor/U79</f>
        <v>0.0631981029619819</v>
      </c>
      <c r="BN79" s="197" t="n">
        <f aca="false">Algae_yield_cost_factor/V79</f>
        <v>0.060189895775047</v>
      </c>
      <c r="BO79" s="197" t="n">
        <f aca="false">Algae_yield_cost_factor/W79</f>
        <v>0.0581666249732272</v>
      </c>
      <c r="BP79" s="197" t="n">
        <f aca="false">Algae_yield_cost_factor/X79</f>
        <v>0.0568563175279299</v>
      </c>
      <c r="BQ79" s="197" t="n">
        <f aca="false">Algae_yield_cost_factor/Y79</f>
        <v>0.0560284072100838</v>
      </c>
      <c r="BR79" s="197" t="n">
        <f aca="false">Algae_yield_cost_factor/Z79</f>
        <v>0.0555134202345973</v>
      </c>
      <c r="BS79" s="197" t="n">
        <f aca="false">Algae_yield_cost_factor/AA79</f>
        <v>0.0551961943127493</v>
      </c>
      <c r="BT79" s="197" t="n">
        <f aca="false">Algae_yield_cost_factor/AB79</f>
        <v>0.055001960836883</v>
      </c>
      <c r="BU79" s="197" t="n">
        <f aca="false">Algae_yield_cost_factor/AC79</f>
        <v>0.0548834725928761</v>
      </c>
    </row>
    <row r="80" customFormat="false" ht="15" hidden="false" customHeight="false" outlineLevel="0" collapsed="false">
      <c r="A80" s="18" t="s">
        <v>701</v>
      </c>
      <c r="B80" s="18" t="s">
        <v>22</v>
      </c>
      <c r="C80" s="18" t="s">
        <v>682</v>
      </c>
      <c r="D80" s="18" t="s">
        <v>682</v>
      </c>
      <c r="E80" s="28" t="n">
        <v>6.896383</v>
      </c>
      <c r="F80" s="185" t="n">
        <f aca="false">E80/$B$2*$F$3/1000</f>
        <v>0.01689613835</v>
      </c>
      <c r="G80" s="18" t="n">
        <f aca="false">LOOKUP(RIGHT(D80,5),Ref!$C$4:$C$21,Ref!$E$4:$E$21)*$G$3</f>
        <v>3</v>
      </c>
      <c r="H80" s="218" t="n">
        <f aca="false">$E80</f>
        <v>6.896383</v>
      </c>
      <c r="I80" s="177" t="n">
        <f aca="false">$E80</f>
        <v>6.896383</v>
      </c>
      <c r="J80" s="177" t="n">
        <f aca="false">$E80</f>
        <v>6.896383</v>
      </c>
      <c r="K80" s="177" t="n">
        <f aca="false">$E80</f>
        <v>6.896383</v>
      </c>
      <c r="L80" s="177" t="n">
        <f aca="false">$E80</f>
        <v>6.896383</v>
      </c>
      <c r="M80" s="177" t="n">
        <f aca="false">M$3*$E80</f>
        <v>7.22344998554193</v>
      </c>
      <c r="N80" s="177" t="n">
        <f aca="false">N$3*$E80</f>
        <v>7.41953006310944</v>
      </c>
      <c r="O80" s="177" t="n">
        <f aca="false">O$3*$E80</f>
        <v>7.71845200498366</v>
      </c>
      <c r="P80" s="177" t="n">
        <f aca="false">P$3*$E80</f>
        <v>8.15445928114425</v>
      </c>
      <c r="Q80" s="177" t="n">
        <f aca="false">Q$3*$E80</f>
        <v>8.75110604633187</v>
      </c>
      <c r="R80" s="177" t="n">
        <f aca="false">R$3*$E80</f>
        <v>9.50004805010816</v>
      </c>
      <c r="S80" s="177" t="n">
        <f aca="false">S$3*$E80</f>
        <v>10.3445745</v>
      </c>
      <c r="T80" s="177" t="n">
        <f aca="false">T$3*$E80</f>
        <v>11.1891009498918</v>
      </c>
      <c r="U80" s="177" t="n">
        <f aca="false">U$3*$E80</f>
        <v>11.9380429536681</v>
      </c>
      <c r="V80" s="177" t="n">
        <f aca="false">V$3*$E80</f>
        <v>12.5346897188558</v>
      </c>
      <c r="W80" s="177" t="n">
        <f aca="false">W$3*$E80</f>
        <v>12.9706969950163</v>
      </c>
      <c r="X80" s="177" t="n">
        <f aca="false">X$3*$E80</f>
        <v>13.2696189368906</v>
      </c>
      <c r="Y80" s="177" t="n">
        <f aca="false">Y$3*$E80</f>
        <v>13.4656990144581</v>
      </c>
      <c r="Z80" s="177" t="n">
        <f aca="false">Z$3*$E80</f>
        <v>13.5906176301543</v>
      </c>
      <c r="AA80" s="177" t="n">
        <f aca="false">AA$3*$E80</f>
        <v>13.668726207383</v>
      </c>
      <c r="AB80" s="177" t="n">
        <f aca="false">AB$3*$E80</f>
        <v>13.7169958356204</v>
      </c>
      <c r="AC80" s="177" t="n">
        <f aca="false">AC$3*$E80</f>
        <v>13.7466095366642</v>
      </c>
      <c r="AD80" s="219" t="n">
        <f aca="false">Algae_electricity_factor/H80</f>
        <v>0.0019928703355845</v>
      </c>
      <c r="AE80" s="220" t="n">
        <f aca="false">Algae_electricity_factor/I80</f>
        <v>0.0019928703355845</v>
      </c>
      <c r="AF80" s="220" t="n">
        <f aca="false">Algae_electricity_factor/J80</f>
        <v>0.0019928703355845</v>
      </c>
      <c r="AG80" s="220" t="n">
        <f aca="false">Algae_electricity_factor/K80</f>
        <v>0.0019928703355845</v>
      </c>
      <c r="AH80" s="220" t="n">
        <f aca="false">Algae_electricity_factor/L80</f>
        <v>0.0019928703355845</v>
      </c>
      <c r="AI80" s="220" t="n">
        <f aca="false">Algae_electricity_factor/M80</f>
        <v>0.00190263615461278</v>
      </c>
      <c r="AJ80" s="220" t="n">
        <f aca="false">Algae_electricity_factor/N80</f>
        <v>0.00185235412305473</v>
      </c>
      <c r="AK80" s="220" t="n">
        <f aca="false">Algae_electricity_factor/O80</f>
        <v>0.0017806157367637</v>
      </c>
      <c r="AL80" s="220" t="n">
        <f aca="false">Algae_electricity_factor/P80</f>
        <v>0.00168540875975785</v>
      </c>
      <c r="AM80" s="220" t="n">
        <f aca="false">Algae_electricity_factor/Q80</f>
        <v>0.00157049829253184</v>
      </c>
      <c r="AN80" s="220" t="n">
        <f aca="false">Algae_electricity_factor/R80</f>
        <v>0.00144668711474283</v>
      </c>
      <c r="AO80" s="220" t="n">
        <f aca="false">Algae_electricity_factor/S80</f>
        <v>0.001328580223723</v>
      </c>
      <c r="AP80" s="220" t="n">
        <f aca="false">Algae_electricity_factor/T80</f>
        <v>0.00122830218129921</v>
      </c>
      <c r="AQ80" s="220" t="n">
        <f aca="false">Algae_electricity_factor/U80</f>
        <v>0.00115124373038936</v>
      </c>
      <c r="AR80" s="220" t="n">
        <f aca="false">Algae_electricity_factor/V80</f>
        <v>0.00109644493894851</v>
      </c>
      <c r="AS80" s="220" t="n">
        <f aca="false">Algae_electricity_factor/W80</f>
        <v>0.00105958817084463</v>
      </c>
      <c r="AT80" s="220" t="n">
        <f aca="false">Algae_electricity_factor/X80</f>
        <v>0.00103571904882069</v>
      </c>
      <c r="AU80" s="220" t="n">
        <f aca="false">Algae_electricity_factor/Y80</f>
        <v>0.00102063747962678</v>
      </c>
      <c r="AV80" s="220" t="n">
        <f aca="false">Algae_electricity_factor/Z80</f>
        <v>0.00101125625615686</v>
      </c>
      <c r="AW80" s="220" t="n">
        <f aca="false">Algae_electricity_factor/AA80</f>
        <v>0.00100547753280081</v>
      </c>
      <c r="AX80" s="220" t="n">
        <f aca="false">Algae_electricity_factor/AB80</f>
        <v>0.00100193929255557</v>
      </c>
      <c r="AY80" s="220" t="n">
        <f aca="false">Algae_electricity_factor/AC80</f>
        <v>0.000999780859918445</v>
      </c>
      <c r="AZ80" s="221" t="n">
        <f aca="false">Algae_yield_cost_factor/H80</f>
        <v>0.110324878894664</v>
      </c>
      <c r="BA80" s="197" t="n">
        <f aca="false">Algae_yield_cost_factor/I80</f>
        <v>0.110324878894664</v>
      </c>
      <c r="BB80" s="197" t="n">
        <f aca="false">Algae_yield_cost_factor/J80</f>
        <v>0.110324878894664</v>
      </c>
      <c r="BC80" s="197" t="n">
        <f aca="false">Algae_yield_cost_factor/K80</f>
        <v>0.110324878894664</v>
      </c>
      <c r="BD80" s="197" t="n">
        <f aca="false">Algae_yield_cost_factor/L80</f>
        <v>0.110324878894664</v>
      </c>
      <c r="BE80" s="197" t="n">
        <f aca="false">Algae_yield_cost_factor/M80</f>
        <v>0.105329533783591</v>
      </c>
      <c r="BF80" s="197" t="n">
        <f aca="false">Algae_yield_cost_factor/N80</f>
        <v>0.102545931186288</v>
      </c>
      <c r="BG80" s="197" t="n">
        <f aca="false">Algae_yield_cost_factor/O80</f>
        <v>0.0985745093439664</v>
      </c>
      <c r="BH80" s="197" t="n">
        <f aca="false">Algae_yield_cost_factor/P80</f>
        <v>0.093303871299662</v>
      </c>
      <c r="BI80" s="197" t="n">
        <f aca="false">Algae_yield_cost_factor/Q80</f>
        <v>0.0869424522178124</v>
      </c>
      <c r="BJ80" s="197" t="n">
        <f aca="false">Algae_yield_cost_factor/R80</f>
        <v>0.0800882916879094</v>
      </c>
      <c r="BK80" s="197" t="n">
        <f aca="false">Algae_yield_cost_factor/S80</f>
        <v>0.0735499192631092</v>
      </c>
      <c r="BL80" s="197" t="n">
        <f aca="false">Algae_yield_cost_factor/T80</f>
        <v>0.0679985481133381</v>
      </c>
      <c r="BM80" s="197" t="n">
        <f aca="false">Algae_yield_cost_factor/U80</f>
        <v>0.0637326086226251</v>
      </c>
      <c r="BN80" s="197" t="n">
        <f aca="false">Algae_yield_cost_factor/V80</f>
        <v>0.0606989591566589</v>
      </c>
      <c r="BO80" s="197" t="n">
        <f aca="false">Algae_yield_cost_factor/W80</f>
        <v>0.0586585762953642</v>
      </c>
      <c r="BP80" s="197" t="n">
        <f aca="false">Algae_yield_cost_factor/X80</f>
        <v>0.0573371867651012</v>
      </c>
      <c r="BQ80" s="197" t="n">
        <f aca="false">Algae_yield_cost_factor/Y80</f>
        <v>0.0565022742948067</v>
      </c>
      <c r="BR80" s="197" t="n">
        <f aca="false">Algae_yield_cost_factor/Z80</f>
        <v>0.05598293175419</v>
      </c>
      <c r="BS80" s="197" t="n">
        <f aca="false">Algae_yield_cost_factor/AA80</f>
        <v>0.0556630228554331</v>
      </c>
      <c r="BT80" s="197" t="n">
        <f aca="false">Algae_yield_cost_factor/AB80</f>
        <v>0.0554671466262646</v>
      </c>
      <c r="BU80" s="197" t="n">
        <f aca="false">Algae_yield_cost_factor/AC80</f>
        <v>0.0553476562534884</v>
      </c>
    </row>
    <row r="81" customFormat="false" ht="15" hidden="false" customHeight="false" outlineLevel="0" collapsed="false">
      <c r="A81" s="18" t="s">
        <v>701</v>
      </c>
      <c r="B81" s="18" t="s">
        <v>22</v>
      </c>
      <c r="C81" s="18" t="s">
        <v>688</v>
      </c>
      <c r="D81" s="18" t="s">
        <v>688</v>
      </c>
      <c r="E81" s="28" t="n">
        <v>6.9640175</v>
      </c>
      <c r="F81" s="185" t="n">
        <f aca="false">E81/$B$2*$F$3/1000</f>
        <v>0.017061842875</v>
      </c>
      <c r="G81" s="18" t="n">
        <f aca="false">LOOKUP(RIGHT(D81,5),Ref!$C$4:$C$21,Ref!$E$4:$E$21)*$G$3</f>
        <v>4.5</v>
      </c>
      <c r="H81" s="218" t="n">
        <f aca="false">$E81</f>
        <v>6.9640175</v>
      </c>
      <c r="I81" s="177" t="n">
        <f aca="false">$E81</f>
        <v>6.9640175</v>
      </c>
      <c r="J81" s="177" t="n">
        <f aca="false">$E81</f>
        <v>6.9640175</v>
      </c>
      <c r="K81" s="177" t="n">
        <f aca="false">$E81</f>
        <v>6.9640175</v>
      </c>
      <c r="L81" s="177" t="n">
        <f aca="false">$E81</f>
        <v>6.9640175</v>
      </c>
      <c r="M81" s="177" t="n">
        <f aca="false">M$3*$E81</f>
        <v>7.29429211076136</v>
      </c>
      <c r="N81" s="177" t="n">
        <f aca="false">N$3*$E81</f>
        <v>7.49229519318609</v>
      </c>
      <c r="O81" s="177" t="n">
        <f aca="false">O$3*$E81</f>
        <v>7.79414873501316</v>
      </c>
      <c r="P81" s="177" t="n">
        <f aca="false">P$3*$E81</f>
        <v>8.23443204023413</v>
      </c>
      <c r="Q81" s="177" t="n">
        <f aca="false">Q$3*$E81</f>
        <v>8.83693026489552</v>
      </c>
      <c r="R81" s="177" t="n">
        <f aca="false">R$3*$E81</f>
        <v>9.59321732447199</v>
      </c>
      <c r="S81" s="177" t="n">
        <f aca="false">S$3*$E81</f>
        <v>10.44602625</v>
      </c>
      <c r="T81" s="177" t="n">
        <f aca="false">T$3*$E81</f>
        <v>11.298835175528</v>
      </c>
      <c r="U81" s="177" t="n">
        <f aca="false">U$3*$E81</f>
        <v>12.0551222351045</v>
      </c>
      <c r="V81" s="177" t="n">
        <f aca="false">V$3*$E81</f>
        <v>12.6576204597659</v>
      </c>
      <c r="W81" s="177" t="n">
        <f aca="false">W$3*$E81</f>
        <v>13.0979037649868</v>
      </c>
      <c r="X81" s="177" t="n">
        <f aca="false">X$3*$E81</f>
        <v>13.3997573068139</v>
      </c>
      <c r="Y81" s="177" t="n">
        <f aca="false">Y$3*$E81</f>
        <v>13.5977603892386</v>
      </c>
      <c r="Z81" s="177" t="n">
        <f aca="false">Z$3*$E81</f>
        <v>13.7239041120835</v>
      </c>
      <c r="AA81" s="177" t="n">
        <f aca="false">AA$3*$E81</f>
        <v>13.8027787190653</v>
      </c>
      <c r="AB81" s="177" t="n">
        <f aca="false">AB$3*$E81</f>
        <v>13.8515217392491</v>
      </c>
      <c r="AC81" s="177" t="n">
        <f aca="false">AC$3*$E81</f>
        <v>13.8814258690384</v>
      </c>
      <c r="AD81" s="219" t="n">
        <f aca="false">Algae_electricity_factor/H81</f>
        <v>0.0019735155897482</v>
      </c>
      <c r="AE81" s="220" t="n">
        <f aca="false">Algae_electricity_factor/I81</f>
        <v>0.0019735155897482</v>
      </c>
      <c r="AF81" s="220" t="n">
        <f aca="false">Algae_electricity_factor/J81</f>
        <v>0.0019735155897482</v>
      </c>
      <c r="AG81" s="220" t="n">
        <f aca="false">Algae_electricity_factor/K81</f>
        <v>0.0019735155897482</v>
      </c>
      <c r="AH81" s="220" t="n">
        <f aca="false">Algae_electricity_factor/L81</f>
        <v>0.0019735155897482</v>
      </c>
      <c r="AI81" s="220" t="n">
        <f aca="false">Algae_electricity_factor/M81</f>
        <v>0.00188415776265022</v>
      </c>
      <c r="AJ81" s="220" t="n">
        <f aca="false">Algae_electricity_factor/N81</f>
        <v>0.00183436406990857</v>
      </c>
      <c r="AK81" s="220" t="n">
        <f aca="false">Algae_electricity_factor/O81</f>
        <v>0.00176332240643417</v>
      </c>
      <c r="AL81" s="220" t="n">
        <f aca="false">Algae_electricity_factor/P81</f>
        <v>0.00166904007907004</v>
      </c>
      <c r="AM81" s="220" t="n">
        <f aca="false">Algae_electricity_factor/Q81</f>
        <v>0.00155524562167536</v>
      </c>
      <c r="AN81" s="220" t="n">
        <f aca="false">Algae_electricity_factor/R81</f>
        <v>0.00143263689737016</v>
      </c>
      <c r="AO81" s="220" t="n">
        <f aca="false">Algae_electricity_factor/S81</f>
        <v>0.00131567705983213</v>
      </c>
      <c r="AP81" s="220" t="n">
        <f aca="false">Algae_electricity_factor/T81</f>
        <v>0.00121637291720976</v>
      </c>
      <c r="AQ81" s="220" t="n">
        <f aca="false">Algae_electricity_factor/U81</f>
        <v>0.0011400628575551</v>
      </c>
      <c r="AR81" s="220" t="n">
        <f aca="false">Algae_electricity_factor/V81</f>
        <v>0.00108579627167802</v>
      </c>
      <c r="AS81" s="220" t="n">
        <f aca="false">Algae_electricity_factor/W81</f>
        <v>0.00104929745630507</v>
      </c>
      <c r="AT81" s="220" t="n">
        <f aca="false">Algae_electricity_factor/X81</f>
        <v>0.00102566015106412</v>
      </c>
      <c r="AU81" s="220" t="n">
        <f aca="false">Algae_electricity_factor/Y81</f>
        <v>0.00101072505398801</v>
      </c>
      <c r="AV81" s="220" t="n">
        <f aca="false">Algae_electricity_factor/Z81</f>
        <v>0.0010014349409093</v>
      </c>
      <c r="AW81" s="220" t="n">
        <f aca="false">Algae_electricity_factor/AA81</f>
        <v>0.000995712340482984</v>
      </c>
      <c r="AX81" s="220" t="n">
        <f aca="false">Algae_electricity_factor/AB81</f>
        <v>0.000992208463607722</v>
      </c>
      <c r="AY81" s="220" t="n">
        <f aca="false">Algae_electricity_factor/AC81</f>
        <v>0.000990070993656599</v>
      </c>
      <c r="AZ81" s="221" t="n">
        <f aca="false">Algae_yield_cost_factor/H81</f>
        <v>0.109253404272206</v>
      </c>
      <c r="BA81" s="197" t="n">
        <f aca="false">Algae_yield_cost_factor/I81</f>
        <v>0.109253404272206</v>
      </c>
      <c r="BB81" s="197" t="n">
        <f aca="false">Algae_yield_cost_factor/J81</f>
        <v>0.109253404272206</v>
      </c>
      <c r="BC81" s="197" t="n">
        <f aca="false">Algae_yield_cost_factor/K81</f>
        <v>0.109253404272206</v>
      </c>
      <c r="BD81" s="197" t="n">
        <f aca="false">Algae_yield_cost_factor/L81</f>
        <v>0.109253404272206</v>
      </c>
      <c r="BE81" s="197" t="n">
        <f aca="false">Algae_yield_cost_factor/M81</f>
        <v>0.104306573925623</v>
      </c>
      <c r="BF81" s="197" t="n">
        <f aca="false">Algae_yield_cost_factor/N81</f>
        <v>0.101550005661572</v>
      </c>
      <c r="BG81" s="197" t="n">
        <f aca="false">Algae_yield_cost_factor/O81</f>
        <v>0.0976171542465353</v>
      </c>
      <c r="BH81" s="197" t="n">
        <f aca="false">Algae_yield_cost_factor/P81</f>
        <v>0.0923977046101876</v>
      </c>
      <c r="BI81" s="197" t="n">
        <f aca="false">Algae_yield_cost_factor/Q81</f>
        <v>0.0860980675957856</v>
      </c>
      <c r="BJ81" s="197" t="n">
        <f aca="false">Algae_yield_cost_factor/R81</f>
        <v>0.0793104746355878</v>
      </c>
      <c r="BK81" s="197" t="n">
        <f aca="false">Algae_yield_cost_factor/S81</f>
        <v>0.0728356028481374</v>
      </c>
      <c r="BL81" s="197" t="n">
        <f aca="false">Algae_yield_cost_factor/T81</f>
        <v>0.0673381465847131</v>
      </c>
      <c r="BM81" s="197" t="n">
        <f aca="false">Algae_yield_cost_factor/U81</f>
        <v>0.0631136378750807</v>
      </c>
      <c r="BN81" s="197" t="n">
        <f aca="false">Algae_yield_cost_factor/V81</f>
        <v>0.060109451196192</v>
      </c>
      <c r="BO81" s="197" t="n">
        <f aca="false">Algae_yield_cost_factor/W81</f>
        <v>0.0580888845221243</v>
      </c>
      <c r="BP81" s="197" t="n">
        <f aca="false">Algae_yield_cost_factor/X81</f>
        <v>0.0567803283197765</v>
      </c>
      <c r="BQ81" s="197" t="n">
        <f aca="false">Algae_yield_cost_factor/Y81</f>
        <v>0.0559535245148424</v>
      </c>
      <c r="BR81" s="197" t="n">
        <f aca="false">Algae_yield_cost_factor/Z81</f>
        <v>0.0554392258261494</v>
      </c>
      <c r="BS81" s="197" t="n">
        <f aca="false">Algae_yield_cost_factor/AA81</f>
        <v>0.0551224238808734</v>
      </c>
      <c r="BT81" s="197" t="n">
        <f aca="false">Algae_yield_cost_factor/AB81</f>
        <v>0.0549284500005749</v>
      </c>
      <c r="BU81" s="197" t="n">
        <f aca="false">Algae_yield_cost_factor/AC81</f>
        <v>0.0548101201176478</v>
      </c>
    </row>
    <row r="82" customFormat="false" ht="15" hidden="false" customHeight="false" outlineLevel="0" collapsed="false">
      <c r="A82" s="18" t="s">
        <v>702</v>
      </c>
      <c r="B82" s="18" t="s">
        <v>22</v>
      </c>
      <c r="C82" s="18" t="s">
        <v>683</v>
      </c>
      <c r="D82" s="18" t="s">
        <v>683</v>
      </c>
      <c r="E82" s="28" t="n">
        <v>5.28204275</v>
      </c>
      <c r="F82" s="185" t="n">
        <f aca="false">E82/$B$2*$F$3/1000</f>
        <v>0.0129410047375</v>
      </c>
      <c r="G82" s="18" t="n">
        <f aca="false">LOOKUP(RIGHT(D82,5),Ref!$C$4:$C$21,Ref!$E$4:$E$21)*$G$3</f>
        <v>3</v>
      </c>
      <c r="H82" s="218" t="n">
        <f aca="false">$E82</f>
        <v>5.28204275</v>
      </c>
      <c r="I82" s="177" t="n">
        <f aca="false">$E82</f>
        <v>5.28204275</v>
      </c>
      <c r="J82" s="177" t="n">
        <f aca="false">$E82</f>
        <v>5.28204275</v>
      </c>
      <c r="K82" s="177" t="n">
        <f aca="false">$E82</f>
        <v>5.28204275</v>
      </c>
      <c r="L82" s="177" t="n">
        <f aca="false">$E82</f>
        <v>5.28204275</v>
      </c>
      <c r="M82" s="177" t="n">
        <f aca="false">M$3*$E82</f>
        <v>5.53254823957999</v>
      </c>
      <c r="N82" s="177" t="n">
        <f aca="false">N$3*$E82</f>
        <v>5.6827288998094</v>
      </c>
      <c r="O82" s="177" t="n">
        <f aca="false">O$3*$E82</f>
        <v>5.91167768004574</v>
      </c>
      <c r="P82" s="177" t="n">
        <f aca="false">P$3*$E82</f>
        <v>6.24562216543632</v>
      </c>
      <c r="Q82" s="177" t="n">
        <f aca="false">Q$3*$E82</f>
        <v>6.70260283492208</v>
      </c>
      <c r="R82" s="177" t="n">
        <f aca="false">R$3*$E82</f>
        <v>7.2762287024554</v>
      </c>
      <c r="S82" s="177" t="n">
        <f aca="false">S$3*$E82</f>
        <v>7.923064125</v>
      </c>
      <c r="T82" s="177" t="n">
        <f aca="false">T$3*$E82</f>
        <v>8.5698995475446</v>
      </c>
      <c r="U82" s="177" t="n">
        <f aca="false">U$3*$E82</f>
        <v>9.14352541507792</v>
      </c>
      <c r="V82" s="177" t="n">
        <f aca="false">V$3*$E82</f>
        <v>9.60050608456368</v>
      </c>
      <c r="W82" s="177" t="n">
        <f aca="false">W$3*$E82</f>
        <v>9.93445056995426</v>
      </c>
      <c r="X82" s="177" t="n">
        <f aca="false">X$3*$E82</f>
        <v>10.1633993501906</v>
      </c>
      <c r="Y82" s="177" t="n">
        <f aca="false">Y$3*$E82</f>
        <v>10.31358001042</v>
      </c>
      <c r="Z82" s="177" t="n">
        <f aca="false">Z$3*$E82</f>
        <v>10.4092570440735</v>
      </c>
      <c r="AA82" s="177" t="n">
        <f aca="false">AA$3*$E82</f>
        <v>10.4690815700698</v>
      </c>
      <c r="AB82" s="177" t="n">
        <f aca="false">AB$3*$E82</f>
        <v>10.5060519993334</v>
      </c>
      <c r="AC82" s="177" t="n">
        <f aca="false">AC$3*$E82</f>
        <v>10.5287335752986</v>
      </c>
      <c r="AD82" s="219" t="n">
        <f aca="false">Algae_electricity_factor/H82</f>
        <v>0.00260194734386223</v>
      </c>
      <c r="AE82" s="220" t="n">
        <f aca="false">Algae_electricity_factor/I82</f>
        <v>0.00260194734386223</v>
      </c>
      <c r="AF82" s="220" t="n">
        <f aca="false">Algae_electricity_factor/J82</f>
        <v>0.00260194734386223</v>
      </c>
      <c r="AG82" s="220" t="n">
        <f aca="false">Algae_electricity_factor/K82</f>
        <v>0.00260194734386223</v>
      </c>
      <c r="AH82" s="220" t="n">
        <f aca="false">Algae_electricity_factor/L82</f>
        <v>0.00260194734386223</v>
      </c>
      <c r="AI82" s="220" t="n">
        <f aca="false">Algae_electricity_factor/M82</f>
        <v>0.00248413506911828</v>
      </c>
      <c r="AJ82" s="220" t="n">
        <f aca="false">Algae_electricity_factor/N82</f>
        <v>0.00241848543997765</v>
      </c>
      <c r="AK82" s="220" t="n">
        <f aca="false">Algae_electricity_factor/O82</f>
        <v>0.00232482179296063</v>
      </c>
      <c r="AL82" s="220" t="n">
        <f aca="false">Algae_electricity_factor/P82</f>
        <v>0.002200516896393</v>
      </c>
      <c r="AM82" s="220" t="n">
        <f aca="false">Algae_electricity_factor/Q82</f>
        <v>0.00205048657096643</v>
      </c>
      <c r="AN82" s="220" t="n">
        <f aca="false">Algae_electricity_factor/R82</f>
        <v>0.00188883522845996</v>
      </c>
      <c r="AO82" s="220" t="n">
        <f aca="false">Algae_electricity_factor/S82</f>
        <v>0.00173463156257482</v>
      </c>
      <c r="AP82" s="220" t="n">
        <f aca="false">Algae_electricity_factor/T82</f>
        <v>0.00160370574092283</v>
      </c>
      <c r="AQ82" s="220" t="n">
        <f aca="false">Algae_electricity_factor/U82</f>
        <v>0.0015030960684886</v>
      </c>
      <c r="AR82" s="220" t="n">
        <f aca="false">Algae_electricity_factor/V82</f>
        <v>0.00143154923110013</v>
      </c>
      <c r="AS82" s="220" t="n">
        <f aca="false">Algae_electricity_factor/W82</f>
        <v>0.00138342800205734</v>
      </c>
      <c r="AT82" s="220" t="n">
        <f aca="false">Algae_electricity_factor/X82</f>
        <v>0.00135226380760799</v>
      </c>
      <c r="AU82" s="220" t="n">
        <f aca="false">Algae_electricity_factor/Y82</f>
        <v>0.00133257288833207</v>
      </c>
      <c r="AV82" s="220" t="n">
        <f aca="false">Algae_electricity_factor/Z82</f>
        <v>0.00132032450013848</v>
      </c>
      <c r="AW82" s="220" t="n">
        <f aca="false">Algae_electricity_factor/AA82</f>
        <v>0.00131277963702385</v>
      </c>
      <c r="AX82" s="220" t="n">
        <f aca="false">Algae_electricity_factor/AB82</f>
        <v>0.00130816001142972</v>
      </c>
      <c r="AY82" s="220" t="n">
        <f aca="false">Algae_electricity_factor/AC82</f>
        <v>0.00130534190130645</v>
      </c>
      <c r="AZ82" s="221" t="n">
        <f aca="false">Algae_yield_cost_factor/H82</f>
        <v>0.144043252827936</v>
      </c>
      <c r="BA82" s="197" t="n">
        <f aca="false">Algae_yield_cost_factor/I82</f>
        <v>0.144043252827936</v>
      </c>
      <c r="BB82" s="197" t="n">
        <f aca="false">Algae_yield_cost_factor/J82</f>
        <v>0.144043252827936</v>
      </c>
      <c r="BC82" s="197" t="n">
        <f aca="false">Algae_yield_cost_factor/K82</f>
        <v>0.144043252827936</v>
      </c>
      <c r="BD82" s="197" t="n">
        <f aca="false">Algae_yield_cost_factor/L82</f>
        <v>0.144043252827936</v>
      </c>
      <c r="BE82" s="197" t="n">
        <f aca="false">Algae_yield_cost_factor/M82</f>
        <v>0.137521190297652</v>
      </c>
      <c r="BF82" s="197" t="n">
        <f aca="false">Algae_yield_cost_factor/N82</f>
        <v>0.133886840759153</v>
      </c>
      <c r="BG82" s="197" t="n">
        <f aca="false">Algae_yield_cost_factor/O82</f>
        <v>0.128701641135538</v>
      </c>
      <c r="BH82" s="197" t="n">
        <f aca="false">Algae_yield_cost_factor/P82</f>
        <v>0.121820148438817</v>
      </c>
      <c r="BI82" s="197" t="n">
        <f aca="false">Algae_yield_cost_factor/Q82</f>
        <v>0.113514501459352</v>
      </c>
      <c r="BJ82" s="197" t="n">
        <f aca="false">Algae_yield_cost_factor/R82</f>
        <v>0.104565517440301</v>
      </c>
      <c r="BK82" s="197" t="n">
        <f aca="false">Algae_yield_cost_factor/S82</f>
        <v>0.0960288352186242</v>
      </c>
      <c r="BL82" s="197" t="n">
        <f aca="false">Algae_yield_cost_factor/T82</f>
        <v>0.0887808095141804</v>
      </c>
      <c r="BM82" s="197" t="n">
        <f aca="false">Algae_yield_cost_factor/U82</f>
        <v>0.0832110793974026</v>
      </c>
      <c r="BN82" s="197" t="n">
        <f aca="false">Algae_yield_cost_factor/V82</f>
        <v>0.0792502616616795</v>
      </c>
      <c r="BO82" s="197" t="n">
        <f aca="false">Algae_yield_cost_factor/W82</f>
        <v>0.0765862806331041</v>
      </c>
      <c r="BP82" s="197" t="n">
        <f aca="false">Algae_yield_cost_factor/X82</f>
        <v>0.0748610374413704</v>
      </c>
      <c r="BQ82" s="197" t="n">
        <f aca="false">Algae_yield_cost_factor/Y82</f>
        <v>0.0737709523286311</v>
      </c>
      <c r="BR82" s="197" t="n">
        <f aca="false">Algae_yield_cost_factor/Z82</f>
        <v>0.0730928841573189</v>
      </c>
      <c r="BS82" s="197" t="n">
        <f aca="false">Algae_yield_cost_factor/AA82</f>
        <v>0.0726752021362986</v>
      </c>
      <c r="BT82" s="197" t="n">
        <f aca="false">Algae_yield_cost_factor/AB82</f>
        <v>0.0724194606436835</v>
      </c>
      <c r="BU82" s="197" t="n">
        <f aca="false">Algae_yield_cost_factor/AC82</f>
        <v>0.0722634506652566</v>
      </c>
    </row>
    <row r="83" customFormat="false" ht="15" hidden="false" customHeight="false" outlineLevel="0" collapsed="false">
      <c r="A83" s="18" t="s">
        <v>702</v>
      </c>
      <c r="B83" s="18" t="s">
        <v>22</v>
      </c>
      <c r="C83" s="18" t="s">
        <v>684</v>
      </c>
      <c r="D83" s="18" t="s">
        <v>684</v>
      </c>
      <c r="E83" s="28" t="n">
        <v>5.3152395</v>
      </c>
      <c r="F83" s="185" t="n">
        <f aca="false">E83/$B$2*$F$3/1000</f>
        <v>0.013022336775</v>
      </c>
      <c r="G83" s="18" t="n">
        <f aca="false">LOOKUP(RIGHT(D83,5),Ref!$C$4:$C$21,Ref!$E$4:$E$21)*$G$3</f>
        <v>3.5</v>
      </c>
      <c r="H83" s="218" t="n">
        <f aca="false">$E83</f>
        <v>5.3152395</v>
      </c>
      <c r="I83" s="177" t="n">
        <f aca="false">$E83</f>
        <v>5.3152395</v>
      </c>
      <c r="J83" s="177" t="n">
        <f aca="false">$E83</f>
        <v>5.3152395</v>
      </c>
      <c r="K83" s="177" t="n">
        <f aca="false">$E83</f>
        <v>5.3152395</v>
      </c>
      <c r="L83" s="177" t="n">
        <f aca="false">$E83</f>
        <v>5.3152395</v>
      </c>
      <c r="M83" s="177" t="n">
        <f aca="false">M$3*$E83</f>
        <v>5.56731937443539</v>
      </c>
      <c r="N83" s="177" t="n">
        <f aca="false">N$3*$E83</f>
        <v>5.71844389484702</v>
      </c>
      <c r="O83" s="177" t="n">
        <f aca="false">O$3*$E83</f>
        <v>5.94883157964738</v>
      </c>
      <c r="P83" s="177" t="n">
        <f aca="false">P$3*$E83</f>
        <v>6.28487484994374</v>
      </c>
      <c r="Q83" s="177" t="n">
        <f aca="false">Q$3*$E83</f>
        <v>6.74472756605194</v>
      </c>
      <c r="R83" s="177" t="n">
        <f aca="false">R$3*$E83</f>
        <v>7.32195857565232</v>
      </c>
      <c r="S83" s="177" t="n">
        <f aca="false">S$3*$E83</f>
        <v>7.97285925</v>
      </c>
      <c r="T83" s="177" t="n">
        <f aca="false">T$3*$E83</f>
        <v>8.62375992434768</v>
      </c>
      <c r="U83" s="177" t="n">
        <f aca="false">U$3*$E83</f>
        <v>9.20099093394806</v>
      </c>
      <c r="V83" s="177" t="n">
        <f aca="false">V$3*$E83</f>
        <v>9.66084365005626</v>
      </c>
      <c r="W83" s="177" t="n">
        <f aca="false">W$3*$E83</f>
        <v>9.99688692035262</v>
      </c>
      <c r="X83" s="177" t="n">
        <f aca="false">X$3*$E83</f>
        <v>10.227274605153</v>
      </c>
      <c r="Y83" s="177" t="n">
        <f aca="false">Y$3*$E83</f>
        <v>10.3783991255646</v>
      </c>
      <c r="Z83" s="177" t="n">
        <f aca="false">Z$3*$E83</f>
        <v>10.4746774732773</v>
      </c>
      <c r="AA83" s="177" t="n">
        <f aca="false">AA$3*$E83</f>
        <v>10.5348779863542</v>
      </c>
      <c r="AB83" s="177" t="n">
        <f aca="false">AB$3*$E83</f>
        <v>10.5720807685456</v>
      </c>
      <c r="AC83" s="177" t="n">
        <f aca="false">AC$3*$E83</f>
        <v>10.5949048943996</v>
      </c>
      <c r="AD83" s="219" t="n">
        <f aca="false">Algae_electricity_factor/H83</f>
        <v>0.00258569667529173</v>
      </c>
      <c r="AE83" s="220" t="n">
        <f aca="false">Algae_electricity_factor/I83</f>
        <v>0.00258569667529173</v>
      </c>
      <c r="AF83" s="220" t="n">
        <f aca="false">Algae_electricity_factor/J83</f>
        <v>0.00258569667529173</v>
      </c>
      <c r="AG83" s="220" t="n">
        <f aca="false">Algae_electricity_factor/K83</f>
        <v>0.00258569667529173</v>
      </c>
      <c r="AH83" s="220" t="n">
        <f aca="false">Algae_electricity_factor/L83</f>
        <v>0.00258569667529173</v>
      </c>
      <c r="AI83" s="220" t="n">
        <f aca="false">Algae_electricity_factor/M83</f>
        <v>0.00246862020645673</v>
      </c>
      <c r="AJ83" s="220" t="n">
        <f aca="false">Algae_electricity_factor/N83</f>
        <v>0.00240338059728344</v>
      </c>
      <c r="AK83" s="220" t="n">
        <f aca="false">Algae_electricity_factor/O83</f>
        <v>0.00231030193400498</v>
      </c>
      <c r="AL83" s="220" t="n">
        <f aca="false">Algae_electricity_factor/P83</f>
        <v>0.00218677339353103</v>
      </c>
      <c r="AM83" s="220" t="n">
        <f aca="false">Algae_electricity_factor/Q83</f>
        <v>0.00203768009440508</v>
      </c>
      <c r="AN83" s="220" t="n">
        <f aca="false">Algae_electricity_factor/R83</f>
        <v>0.0018770383581834</v>
      </c>
      <c r="AO83" s="220" t="n">
        <f aca="false">Algae_electricity_factor/S83</f>
        <v>0.00172379778352782</v>
      </c>
      <c r="AP83" s="220" t="n">
        <f aca="false">Algae_electricity_factor/T83</f>
        <v>0.0015936896694824</v>
      </c>
      <c r="AQ83" s="220" t="n">
        <f aca="false">Algae_electricity_factor/U83</f>
        <v>0.00149370836273958</v>
      </c>
      <c r="AR83" s="220" t="n">
        <f aca="false">Algae_electricity_factor/V83</f>
        <v>0.00142260837680043</v>
      </c>
      <c r="AS83" s="220" t="n">
        <f aca="false">Algae_electricity_factor/W83</f>
        <v>0.00137478769271149</v>
      </c>
      <c r="AT83" s="220" t="n">
        <f aca="false">Algae_electricity_factor/X83</f>
        <v>0.00134381813671108</v>
      </c>
      <c r="AU83" s="220" t="n">
        <f aca="false">Algae_electricity_factor/Y83</f>
        <v>0.00132425019863375</v>
      </c>
      <c r="AV83" s="220" t="n">
        <f aca="false">Algae_electricity_factor/Z83</f>
        <v>0.00131207830872039</v>
      </c>
      <c r="AW83" s="220" t="n">
        <f aca="false">Algae_electricity_factor/AA83</f>
        <v>0.00130458056764694</v>
      </c>
      <c r="AX83" s="220" t="n">
        <f aca="false">Algae_electricity_factor/AB83</f>
        <v>0.00129998979429098</v>
      </c>
      <c r="AY83" s="220" t="n">
        <f aca="false">Algae_electricity_factor/AC83</f>
        <v>0.00129718928489806</v>
      </c>
      <c r="AZ83" s="221" t="n">
        <f aca="false">Algae_yield_cost_factor/H83</f>
        <v>0.143143619264234</v>
      </c>
      <c r="BA83" s="197" t="n">
        <f aca="false">Algae_yield_cost_factor/I83</f>
        <v>0.143143619264234</v>
      </c>
      <c r="BB83" s="197" t="n">
        <f aca="false">Algae_yield_cost_factor/J83</f>
        <v>0.143143619264234</v>
      </c>
      <c r="BC83" s="197" t="n">
        <f aca="false">Algae_yield_cost_factor/K83</f>
        <v>0.143143619264234</v>
      </c>
      <c r="BD83" s="197" t="n">
        <f aca="false">Algae_yield_cost_factor/L83</f>
        <v>0.143143619264234</v>
      </c>
      <c r="BE83" s="197" t="n">
        <f aca="false">Algae_yield_cost_factor/M83</f>
        <v>0.136662290792933</v>
      </c>
      <c r="BF83" s="197" t="n">
        <f aca="false">Algae_yield_cost_factor/N83</f>
        <v>0.13305063987282</v>
      </c>
      <c r="BG83" s="197" t="n">
        <f aca="false">Algae_yield_cost_factor/O83</f>
        <v>0.12789782482484</v>
      </c>
      <c r="BH83" s="197" t="n">
        <f aca="false">Algae_yield_cost_factor/P83</f>
        <v>0.121059311036723</v>
      </c>
      <c r="BI83" s="197" t="n">
        <f aca="false">Algae_yield_cost_factor/Q83</f>
        <v>0.112805537634425</v>
      </c>
      <c r="BJ83" s="197" t="n">
        <f aca="false">Algae_yield_cost_factor/R83</f>
        <v>0.103912445205064</v>
      </c>
      <c r="BK83" s="197" t="n">
        <f aca="false">Algae_yield_cost_factor/S83</f>
        <v>0.0954290795094894</v>
      </c>
      <c r="BL83" s="197" t="n">
        <f aca="false">Algae_yield_cost_factor/T83</f>
        <v>0.0882263219246296</v>
      </c>
      <c r="BM83" s="197" t="n">
        <f aca="false">Algae_yield_cost_factor/U83</f>
        <v>0.0826913779991899</v>
      </c>
      <c r="BN83" s="197" t="n">
        <f aca="false">Algae_yield_cost_factor/V83</f>
        <v>0.0787552978648802</v>
      </c>
      <c r="BO83" s="197" t="n">
        <f aca="false">Algae_yield_cost_factor/W83</f>
        <v>0.0761079549411749</v>
      </c>
      <c r="BP83" s="197" t="n">
        <f aca="false">Algae_yield_cost_factor/X83</f>
        <v>0.0743934868926732</v>
      </c>
      <c r="BQ83" s="197" t="n">
        <f aca="false">Algae_yield_cost_factor/Y83</f>
        <v>0.0733102099929912</v>
      </c>
      <c r="BR83" s="197" t="n">
        <f aca="false">Algae_yield_cost_factor/Z83</f>
        <v>0.0726363767502398</v>
      </c>
      <c r="BS83" s="197" t="n">
        <f aca="false">Algae_yield_cost_factor/AA83</f>
        <v>0.07222130339542</v>
      </c>
      <c r="BT83" s="197" t="n">
        <f aca="false">Algae_yield_cost_factor/AB83</f>
        <v>0.0719671591565871</v>
      </c>
      <c r="BU83" s="197" t="n">
        <f aca="false">Algae_yield_cost_factor/AC83</f>
        <v>0.0718121235508581</v>
      </c>
    </row>
    <row r="84" customFormat="false" ht="15" hidden="false" customHeight="false" outlineLevel="0" collapsed="false">
      <c r="A84" s="18" t="s">
        <v>702</v>
      </c>
      <c r="B84" s="18" t="s">
        <v>22</v>
      </c>
      <c r="C84" s="18" t="s">
        <v>685</v>
      </c>
      <c r="D84" s="18" t="s">
        <v>685</v>
      </c>
      <c r="E84" s="28" t="n">
        <v>4.6656125</v>
      </c>
      <c r="F84" s="185" t="n">
        <f aca="false">E84/$B$2*$F$3/1000</f>
        <v>0.011430750625</v>
      </c>
      <c r="G84" s="18" t="n">
        <f aca="false">LOOKUP(RIGHT(D84,5),Ref!$C$4:$C$21,Ref!$E$4:$E$21)*$G$3</f>
        <v>4</v>
      </c>
      <c r="H84" s="218" t="n">
        <f aca="false">$E84</f>
        <v>4.6656125</v>
      </c>
      <c r="I84" s="177" t="n">
        <f aca="false">$E84</f>
        <v>4.6656125</v>
      </c>
      <c r="J84" s="177" t="n">
        <f aca="false">$E84</f>
        <v>4.6656125</v>
      </c>
      <c r="K84" s="177" t="n">
        <f aca="false">$E84</f>
        <v>4.6656125</v>
      </c>
      <c r="L84" s="177" t="n">
        <f aca="false">$E84</f>
        <v>4.6656125</v>
      </c>
      <c r="M84" s="177" t="n">
        <f aca="false">M$3*$E84</f>
        <v>4.88688324672067</v>
      </c>
      <c r="N84" s="177" t="n">
        <f aca="false">N$3*$E84</f>
        <v>5.01953737293436</v>
      </c>
      <c r="O84" s="177" t="n">
        <f aca="false">O$3*$E84</f>
        <v>5.22176714302292</v>
      </c>
      <c r="P84" s="177" t="n">
        <f aca="false">P$3*$E84</f>
        <v>5.51673930418998</v>
      </c>
      <c r="Q84" s="177" t="n">
        <f aca="false">Q$3*$E84</f>
        <v>5.92038895731162</v>
      </c>
      <c r="R84" s="177" t="n">
        <f aca="false">R$3*$E84</f>
        <v>6.42707096360299</v>
      </c>
      <c r="S84" s="177" t="n">
        <f aca="false">S$3*$E84</f>
        <v>6.99841875</v>
      </c>
      <c r="T84" s="177" t="n">
        <f aca="false">T$3*$E84</f>
        <v>7.56976653639701</v>
      </c>
      <c r="U84" s="177" t="n">
        <f aca="false">U$3*$E84</f>
        <v>8.07644854268838</v>
      </c>
      <c r="V84" s="177" t="n">
        <f aca="false">V$3*$E84</f>
        <v>8.48009819581002</v>
      </c>
      <c r="W84" s="177" t="n">
        <f aca="false">W$3*$E84</f>
        <v>8.77507035697708</v>
      </c>
      <c r="X84" s="177" t="n">
        <f aca="false">X$3*$E84</f>
        <v>8.97730012706564</v>
      </c>
      <c r="Y84" s="177" t="n">
        <f aca="false">Y$3*$E84</f>
        <v>9.10995425327933</v>
      </c>
      <c r="Z84" s="177" t="n">
        <f aca="false">Z$3*$E84</f>
        <v>9.19446548980359</v>
      </c>
      <c r="AA84" s="177" t="n">
        <f aca="false">AA$3*$E84</f>
        <v>9.24730831397324</v>
      </c>
      <c r="AB84" s="177" t="n">
        <f aca="false">AB$3*$E84</f>
        <v>9.27996418312592</v>
      </c>
      <c r="AC84" s="177" t="n">
        <f aca="false">AC$3*$E84</f>
        <v>9.29999875106702</v>
      </c>
      <c r="AD84" s="219" t="n">
        <f aca="false">Algae_electricity_factor/H84</f>
        <v>0.00294572193973016</v>
      </c>
      <c r="AE84" s="220" t="n">
        <f aca="false">Algae_electricity_factor/I84</f>
        <v>0.00294572193973016</v>
      </c>
      <c r="AF84" s="220" t="n">
        <f aca="false">Algae_electricity_factor/J84</f>
        <v>0.00294572193973016</v>
      </c>
      <c r="AG84" s="220" t="n">
        <f aca="false">Algae_electricity_factor/K84</f>
        <v>0.00294572193973016</v>
      </c>
      <c r="AH84" s="220" t="n">
        <f aca="false">Algae_electricity_factor/L84</f>
        <v>0.00294572193973016</v>
      </c>
      <c r="AI84" s="220" t="n">
        <f aca="false">Algae_electricity_factor/M84</f>
        <v>0.00281234406669156</v>
      </c>
      <c r="AJ84" s="220" t="n">
        <f aca="false">Algae_electricity_factor/N84</f>
        <v>0.0027380206745019</v>
      </c>
      <c r="AK84" s="220" t="n">
        <f aca="false">Algae_electricity_factor/O84</f>
        <v>0.00263198199519349</v>
      </c>
      <c r="AL84" s="220" t="n">
        <f aca="false">Algae_electricity_factor/P84</f>
        <v>0.00249125368187889</v>
      </c>
      <c r="AM84" s="220" t="n">
        <f aca="false">Algae_electricity_factor/Q84</f>
        <v>0.00232140104351692</v>
      </c>
      <c r="AN84" s="220" t="n">
        <f aca="false">Algae_electricity_factor/R84</f>
        <v>0.00213839199557004</v>
      </c>
      <c r="AO84" s="220" t="n">
        <f aca="false">Algae_electricity_factor/S84</f>
        <v>0.00196381462648677</v>
      </c>
      <c r="AP84" s="220" t="n">
        <f aca="false">Algae_electricity_factor/T84</f>
        <v>0.00181559061794669</v>
      </c>
      <c r="AQ84" s="220" t="n">
        <f aca="false">Algae_electricity_factor/U84</f>
        <v>0.00170168819016019</v>
      </c>
      <c r="AR84" s="220" t="n">
        <f aca="false">Algae_electricity_factor/V84</f>
        <v>0.00162068843852774</v>
      </c>
      <c r="AS84" s="220" t="n">
        <f aca="false">Algae_electricity_factor/W84</f>
        <v>0.00156620933444729</v>
      </c>
      <c r="AT84" s="220" t="n">
        <f aca="false">Algae_electricity_factor/X84</f>
        <v>0.00153092766299455</v>
      </c>
      <c r="AU84" s="220" t="n">
        <f aca="false">Algae_electricity_factor/Y84</f>
        <v>0.00150863513925791</v>
      </c>
      <c r="AV84" s="220" t="n">
        <f aca="false">Algae_electricity_factor/Z84</f>
        <v>0.00149476846900677</v>
      </c>
      <c r="AW84" s="220" t="n">
        <f aca="false">Algae_electricity_factor/AA84</f>
        <v>0.00148622676317192</v>
      </c>
      <c r="AX84" s="220" t="n">
        <f aca="false">Algae_electricity_factor/AB84</f>
        <v>0.0014809967832117</v>
      </c>
      <c r="AY84" s="220" t="n">
        <f aca="false">Algae_electricity_factor/AC84</f>
        <v>0.00147780633862477</v>
      </c>
      <c r="AZ84" s="221" t="n">
        <f aca="false">Algae_yield_cost_factor/H84</f>
        <v>0.163074541506869</v>
      </c>
      <c r="BA84" s="197" t="n">
        <f aca="false">Algae_yield_cost_factor/I84</f>
        <v>0.163074541506869</v>
      </c>
      <c r="BB84" s="197" t="n">
        <f aca="false">Algae_yield_cost_factor/J84</f>
        <v>0.163074541506869</v>
      </c>
      <c r="BC84" s="197" t="n">
        <f aca="false">Algae_yield_cost_factor/K84</f>
        <v>0.163074541506869</v>
      </c>
      <c r="BD84" s="197" t="n">
        <f aca="false">Algae_yield_cost_factor/L84</f>
        <v>0.163074541506869</v>
      </c>
      <c r="BE84" s="197" t="n">
        <f aca="false">Algae_yield_cost_factor/M84</f>
        <v>0.155690770757983</v>
      </c>
      <c r="BF84" s="197" t="n">
        <f aca="false">Algae_yield_cost_factor/N84</f>
        <v>0.151576243537647</v>
      </c>
      <c r="BG84" s="197" t="n">
        <f aca="false">Algae_yield_cost_factor/O84</f>
        <v>0.145705964752339</v>
      </c>
      <c r="BH84" s="197" t="n">
        <f aca="false">Algae_yield_cost_factor/P84</f>
        <v>0.137915275189523</v>
      </c>
      <c r="BI84" s="197" t="n">
        <f aca="false">Algae_yield_cost_factor/Q84</f>
        <v>0.128512269172211</v>
      </c>
      <c r="BJ84" s="197" t="n">
        <f aca="false">Algae_yield_cost_factor/R84</f>
        <v>0.118380927112044</v>
      </c>
      <c r="BK84" s="197" t="n">
        <f aca="false">Algae_yield_cost_factor/S84</f>
        <v>0.108716361004579</v>
      </c>
      <c r="BL84" s="197" t="n">
        <f aca="false">Algae_yield_cost_factor/T84</f>
        <v>0.100510711344654</v>
      </c>
      <c r="BM84" s="197" t="n">
        <f aca="false">Algae_yield_cost_factor/U84</f>
        <v>0.0942050971122709</v>
      </c>
      <c r="BN84" s="197" t="n">
        <f aca="false">Algae_yield_cost_factor/V84</f>
        <v>0.0897209680498921</v>
      </c>
      <c r="BO84" s="197" t="n">
        <f aca="false">Algae_yield_cost_factor/W84</f>
        <v>0.0867050164083607</v>
      </c>
      <c r="BP84" s="197" t="n">
        <f aca="false">Algae_yield_cost_factor/X84</f>
        <v>0.0847518305634403</v>
      </c>
      <c r="BQ84" s="197" t="n">
        <f aca="false">Algae_yield_cost_factor/Y84</f>
        <v>0.0835177211798112</v>
      </c>
      <c r="BR84" s="197" t="n">
        <f aca="false">Algae_yield_cost_factor/Z84</f>
        <v>0.0827500652571889</v>
      </c>
      <c r="BS84" s="197" t="n">
        <f aca="false">Algae_yield_cost_factor/AA84</f>
        <v>0.0822771982347056</v>
      </c>
      <c r="BT84" s="197" t="n">
        <f aca="false">Algae_yield_cost_factor/AB84</f>
        <v>0.0819876676538994</v>
      </c>
      <c r="BU84" s="197" t="n">
        <f aca="false">Algae_yield_cost_factor/AC84</f>
        <v>0.0818110453185732</v>
      </c>
    </row>
    <row r="85" customFormat="false" ht="15" hidden="false" customHeight="false" outlineLevel="0" collapsed="false">
      <c r="A85" s="18" t="s">
        <v>703</v>
      </c>
      <c r="B85" s="18" t="s">
        <v>22</v>
      </c>
      <c r="C85" s="18" t="s">
        <v>694</v>
      </c>
      <c r="D85" s="18" t="s">
        <v>694</v>
      </c>
      <c r="E85" s="28" t="n">
        <v>6.193101</v>
      </c>
      <c r="F85" s="185" t="n">
        <f aca="false">E85/$B$2*$F$3/1000</f>
        <v>0.01517309745</v>
      </c>
      <c r="G85" s="18" t="n">
        <f aca="false">LOOKUP(RIGHT(D85,5),Ref!$C$4:$C$21,Ref!$E$4:$E$21)*$G$3</f>
        <v>3</v>
      </c>
      <c r="H85" s="218" t="n">
        <f aca="false">$E85</f>
        <v>6.193101</v>
      </c>
      <c r="I85" s="177" t="n">
        <f aca="false">$E85</f>
        <v>6.193101</v>
      </c>
      <c r="J85" s="177" t="n">
        <f aca="false">$E85</f>
        <v>6.193101</v>
      </c>
      <c r="K85" s="177" t="n">
        <f aca="false">$E85</f>
        <v>6.193101</v>
      </c>
      <c r="L85" s="177" t="n">
        <f aca="false">$E85</f>
        <v>6.193101</v>
      </c>
      <c r="M85" s="177" t="n">
        <f aca="false">M$3*$E85</f>
        <v>6.48681422260186</v>
      </c>
      <c r="N85" s="177" t="n">
        <f aca="false">N$3*$E85</f>
        <v>6.66289837054774</v>
      </c>
      <c r="O85" s="177" t="n">
        <f aca="false">O$3*$E85</f>
        <v>6.9313367355781</v>
      </c>
      <c r="P85" s="177" t="n">
        <f aca="false">P$3*$E85</f>
        <v>7.32288069391067</v>
      </c>
      <c r="Q85" s="177" t="n">
        <f aca="false">Q$3*$E85</f>
        <v>7.85868238562794</v>
      </c>
      <c r="R85" s="177" t="n">
        <f aca="false">R$3*$E85</f>
        <v>8.53124849347446</v>
      </c>
      <c r="S85" s="177" t="n">
        <f aca="false">S$3*$E85</f>
        <v>9.2896515</v>
      </c>
      <c r="T85" s="177" t="n">
        <f aca="false">T$3*$E85</f>
        <v>10.0480545065255</v>
      </c>
      <c r="U85" s="177" t="n">
        <f aca="false">U$3*$E85</f>
        <v>10.7206206143721</v>
      </c>
      <c r="V85" s="177" t="n">
        <f aca="false">V$3*$E85</f>
        <v>11.2564223060893</v>
      </c>
      <c r="W85" s="177" t="n">
        <f aca="false">W$3*$E85</f>
        <v>11.6479662644219</v>
      </c>
      <c r="X85" s="177" t="n">
        <f aca="false">X$3*$E85</f>
        <v>11.9164046294523</v>
      </c>
      <c r="Y85" s="177" t="n">
        <f aca="false">Y$3*$E85</f>
        <v>12.0924887773981</v>
      </c>
      <c r="Z85" s="177" t="n">
        <f aca="false">Z$3*$E85</f>
        <v>12.2046683944215</v>
      </c>
      <c r="AA85" s="177" t="n">
        <f aca="false">AA$3*$E85</f>
        <v>12.2748115850976</v>
      </c>
      <c r="AB85" s="177" t="n">
        <f aca="false">AB$3*$E85</f>
        <v>12.3181587546075</v>
      </c>
      <c r="AC85" s="177" t="n">
        <f aca="false">AC$3*$E85</f>
        <v>12.344752498248</v>
      </c>
      <c r="AD85" s="219" t="n">
        <f aca="false">Algae_electricity_factor/H85</f>
        <v>0.00221917858331864</v>
      </c>
      <c r="AE85" s="220" t="n">
        <f aca="false">Algae_electricity_factor/I85</f>
        <v>0.00221917858331864</v>
      </c>
      <c r="AF85" s="220" t="n">
        <f aca="false">Algae_electricity_factor/J85</f>
        <v>0.00221917858331864</v>
      </c>
      <c r="AG85" s="220" t="n">
        <f aca="false">Algae_electricity_factor/K85</f>
        <v>0.00221917858331864</v>
      </c>
      <c r="AH85" s="220" t="n">
        <f aca="false">Algae_electricity_factor/L85</f>
        <v>0.00221917858331864</v>
      </c>
      <c r="AI85" s="220" t="n">
        <f aca="false">Algae_electricity_factor/M85</f>
        <v>0.0021186975041836</v>
      </c>
      <c r="AJ85" s="220" t="n">
        <f aca="false">Algae_electricity_factor/N85</f>
        <v>0.00206270549829795</v>
      </c>
      <c r="AK85" s="220" t="n">
        <f aca="false">Algae_electricity_factor/O85</f>
        <v>0.00198282057672718</v>
      </c>
      <c r="AL85" s="220" t="n">
        <f aca="false">Algae_electricity_factor/P85</f>
        <v>0.00187680199609939</v>
      </c>
      <c r="AM85" s="220" t="n">
        <f aca="false">Algae_electricity_factor/Q85</f>
        <v>0.00174884241773961</v>
      </c>
      <c r="AN85" s="220" t="n">
        <f aca="false">Algae_electricity_factor/R85</f>
        <v>0.00161097137353832</v>
      </c>
      <c r="AO85" s="220" t="n">
        <f aca="false">Algae_electricity_factor/S85</f>
        <v>0.00147945238887909</v>
      </c>
      <c r="AP85" s="220" t="n">
        <f aca="false">Algae_electricity_factor/T85</f>
        <v>0.00136778687800745</v>
      </c>
      <c r="AQ85" s="220" t="n">
        <f aca="false">Algae_electricity_factor/U85</f>
        <v>0.00128197775090601</v>
      </c>
      <c r="AR85" s="220" t="n">
        <f aca="false">Algae_electricity_factor/V85</f>
        <v>0.001220956066662</v>
      </c>
      <c r="AS85" s="220" t="n">
        <f aca="false">Algae_electricity_factor/W85</f>
        <v>0.0011799138829504</v>
      </c>
      <c r="AT85" s="220" t="n">
        <f aca="false">Algae_electricity_factor/X85</f>
        <v>0.00115333420867238</v>
      </c>
      <c r="AU85" s="220" t="n">
        <f aca="false">Algae_electricity_factor/Y85</f>
        <v>0.00113653999243044</v>
      </c>
      <c r="AV85" s="220" t="n">
        <f aca="false">Algae_electricity_factor/Z85</f>
        <v>0.00112609344714446</v>
      </c>
      <c r="AW85" s="220" t="n">
        <f aca="false">Algae_electricity_factor/AA85</f>
        <v>0.00111965849807543</v>
      </c>
      <c r="AX85" s="220" t="n">
        <f aca="false">Algae_electricity_factor/AB85</f>
        <v>0.00111571845900984</v>
      </c>
      <c r="AY85" s="220" t="n">
        <f aca="false">Algae_electricity_factor/AC85</f>
        <v>0.0011133149170451</v>
      </c>
      <c r="AZ85" s="221" t="n">
        <f aca="false">Algae_yield_cost_factor/H85</f>
        <v>0.122853255467046</v>
      </c>
      <c r="BA85" s="197" t="n">
        <f aca="false">Algae_yield_cost_factor/I85</f>
        <v>0.122853255467046</v>
      </c>
      <c r="BB85" s="197" t="n">
        <f aca="false">Algae_yield_cost_factor/J85</f>
        <v>0.122853255467046</v>
      </c>
      <c r="BC85" s="197" t="n">
        <f aca="false">Algae_yield_cost_factor/K85</f>
        <v>0.122853255467046</v>
      </c>
      <c r="BD85" s="197" t="n">
        <f aca="false">Algae_yield_cost_factor/L85</f>
        <v>0.122853255467046</v>
      </c>
      <c r="BE85" s="197" t="n">
        <f aca="false">Algae_yield_cost_factor/M85</f>
        <v>0.117290644248024</v>
      </c>
      <c r="BF85" s="197" t="n">
        <f aca="false">Algae_yield_cost_factor/N85</f>
        <v>0.114190938683591</v>
      </c>
      <c r="BG85" s="197" t="n">
        <f aca="false">Algae_yield_cost_factor/O85</f>
        <v>0.109768526376862</v>
      </c>
      <c r="BH85" s="197" t="n">
        <f aca="false">Algae_yield_cost_factor/P85</f>
        <v>0.103899360250249</v>
      </c>
      <c r="BI85" s="197" t="n">
        <f aca="false">Algae_yield_cost_factor/Q85</f>
        <v>0.0968155451450305</v>
      </c>
      <c r="BJ85" s="197" t="n">
        <f aca="false">Algae_yield_cost_factor/R85</f>
        <v>0.0891830333940202</v>
      </c>
      <c r="BK85" s="197" t="n">
        <f aca="false">Algae_yield_cost_factor/S85</f>
        <v>0.081902170311364</v>
      </c>
      <c r="BL85" s="197" t="n">
        <f aca="false">Algae_yield_cost_factor/T85</f>
        <v>0.0757203913247188</v>
      </c>
      <c r="BM85" s="197" t="n">
        <f aca="false">Algae_yield_cost_factor/U85</f>
        <v>0.0709700162569163</v>
      </c>
      <c r="BN85" s="197" t="n">
        <f aca="false">Algae_yield_cost_factor/V85</f>
        <v>0.0675918687658536</v>
      </c>
      <c r="BO85" s="197" t="n">
        <f aca="false">Algae_yield_cost_factor/W85</f>
        <v>0.0653197821846524</v>
      </c>
      <c r="BP85" s="197" t="n">
        <f aca="false">Algae_yield_cost_factor/X85</f>
        <v>0.063848337056778</v>
      </c>
      <c r="BQ85" s="197" t="n">
        <f aca="false">Algae_yield_cost_factor/Y85</f>
        <v>0.0629186128093247</v>
      </c>
      <c r="BR85" s="197" t="n">
        <f aca="false">Algae_yield_cost_factor/Z85</f>
        <v>0.0623402942790302</v>
      </c>
      <c r="BS85" s="197" t="n">
        <f aca="false">Algae_yield_cost_factor/AA85</f>
        <v>0.0619840568640525</v>
      </c>
      <c r="BT85" s="197" t="n">
        <f aca="false">Algae_yield_cost_factor/AB85</f>
        <v>0.06176593713745</v>
      </c>
      <c r="BU85" s="197" t="n">
        <f aca="false">Algae_yield_cost_factor/AC85</f>
        <v>0.0616328775643093</v>
      </c>
    </row>
    <row r="86" customFormat="false" ht="15" hidden="false" customHeight="false" outlineLevel="0" collapsed="false">
      <c r="A86" s="18" t="s">
        <v>703</v>
      </c>
      <c r="B86" s="18" t="s">
        <v>22</v>
      </c>
      <c r="C86" s="18" t="s">
        <v>682</v>
      </c>
      <c r="D86" s="18" t="s">
        <v>682</v>
      </c>
      <c r="E86" s="28" t="n">
        <v>5.56844</v>
      </c>
      <c r="F86" s="185" t="n">
        <f aca="false">E86/$B$2*$F$3/1000</f>
        <v>0.013642678</v>
      </c>
      <c r="G86" s="18" t="n">
        <f aca="false">LOOKUP(RIGHT(D86,5),Ref!$C$4:$C$21,Ref!$E$4:$E$21)*$G$3</f>
        <v>3</v>
      </c>
      <c r="H86" s="218" t="n">
        <f aca="false">$E86</f>
        <v>5.56844</v>
      </c>
      <c r="I86" s="177" t="n">
        <f aca="false">$E86</f>
        <v>5.56844</v>
      </c>
      <c r="J86" s="177" t="n">
        <f aca="false">$E86</f>
        <v>5.56844</v>
      </c>
      <c r="K86" s="177" t="n">
        <f aca="false">$E86</f>
        <v>5.56844</v>
      </c>
      <c r="L86" s="177" t="n">
        <f aca="false">$E86</f>
        <v>5.56844</v>
      </c>
      <c r="M86" s="177" t="n">
        <f aca="false">M$3*$E86</f>
        <v>5.83252812923689</v>
      </c>
      <c r="N86" s="177" t="n">
        <f aca="false">N$3*$E86</f>
        <v>5.99085172395749</v>
      </c>
      <c r="O86" s="177" t="n">
        <f aca="false">O$3*$E86</f>
        <v>6.23221431910484</v>
      </c>
      <c r="P86" s="177" t="n">
        <f aca="false">P$3*$E86</f>
        <v>6.58426558378427</v>
      </c>
      <c r="Q86" s="177" t="n">
        <f aca="false">Q$3*$E86</f>
        <v>7.06602416841354</v>
      </c>
      <c r="R86" s="177" t="n">
        <f aca="false">R$3*$E86</f>
        <v>7.67075256176235</v>
      </c>
      <c r="S86" s="177" t="n">
        <f aca="false">S$3*$E86</f>
        <v>8.35266</v>
      </c>
      <c r="T86" s="177" t="n">
        <f aca="false">T$3*$E86</f>
        <v>9.03456743823766</v>
      </c>
      <c r="U86" s="177" t="n">
        <f aca="false">U$3*$E86</f>
        <v>9.63929583158646</v>
      </c>
      <c r="V86" s="177" t="n">
        <f aca="false">V$3*$E86</f>
        <v>10.1210544162157</v>
      </c>
      <c r="W86" s="177" t="n">
        <f aca="false">W$3*$E86</f>
        <v>10.4731056808952</v>
      </c>
      <c r="X86" s="177" t="n">
        <f aca="false">X$3*$E86</f>
        <v>10.7144682760425</v>
      </c>
      <c r="Y86" s="177" t="n">
        <f aca="false">Y$3*$E86</f>
        <v>10.8727918707631</v>
      </c>
      <c r="Z86" s="177" t="n">
        <f aca="false">Z$3*$E86</f>
        <v>10.9736566017949</v>
      </c>
      <c r="AA86" s="177" t="n">
        <f aca="false">AA$3*$E86</f>
        <v>11.0367248689987</v>
      </c>
      <c r="AB86" s="177" t="n">
        <f aca="false">AB$3*$E86</f>
        <v>11.0756998691781</v>
      </c>
      <c r="AC86" s="177" t="n">
        <f aca="false">AC$3*$E86</f>
        <v>11.0996112611992</v>
      </c>
      <c r="AD86" s="219" t="n">
        <f aca="false">Algae_electricity_factor/H86</f>
        <v>0.00246812340683015</v>
      </c>
      <c r="AE86" s="220" t="n">
        <f aca="false">Algae_electricity_factor/I86</f>
        <v>0.00246812340683015</v>
      </c>
      <c r="AF86" s="220" t="n">
        <f aca="false">Algae_electricity_factor/J86</f>
        <v>0.00246812340683015</v>
      </c>
      <c r="AG86" s="220" t="n">
        <f aca="false">Algae_electricity_factor/K86</f>
        <v>0.00246812340683015</v>
      </c>
      <c r="AH86" s="220" t="n">
        <f aca="false">Algae_electricity_factor/L86</f>
        <v>0.00246812340683015</v>
      </c>
      <c r="AI86" s="220" t="n">
        <f aca="false">Algae_electricity_factor/M86</f>
        <v>0.00235637047931862</v>
      </c>
      <c r="AJ86" s="220" t="n">
        <f aca="false">Algae_electricity_factor/N86</f>
        <v>0.00229409735656926</v>
      </c>
      <c r="AK86" s="220" t="n">
        <f aca="false">Algae_electricity_factor/O86</f>
        <v>0.0022052510391689</v>
      </c>
      <c r="AL86" s="220" t="n">
        <f aca="false">Algae_electricity_factor/P86</f>
        <v>0.0020873394198097</v>
      </c>
      <c r="AM86" s="220" t="n">
        <f aca="false">Algae_electricity_factor/Q86</f>
        <v>0.00194502548759538</v>
      </c>
      <c r="AN86" s="220" t="n">
        <f aca="false">Algae_electricity_factor/R86</f>
        <v>0.00179168823304759</v>
      </c>
      <c r="AO86" s="220" t="n">
        <f aca="false">Algae_electricity_factor/S86</f>
        <v>0.00164541560455343</v>
      </c>
      <c r="AP86" s="220" t="n">
        <f aca="false">Algae_electricity_factor/T86</f>
        <v>0.00152122358900784</v>
      </c>
      <c r="AQ86" s="220" t="n">
        <f aca="false">Algae_electricity_factor/U86</f>
        <v>0.0014257884957212</v>
      </c>
      <c r="AR86" s="220" t="n">
        <f aca="false">Algae_electricity_factor/V86</f>
        <v>0.00135792147125596</v>
      </c>
      <c r="AS86" s="220" t="n">
        <f aca="false">Algae_electricity_factor/W86</f>
        <v>0.00131227522401498</v>
      </c>
      <c r="AT86" s="220" t="n">
        <f aca="false">Algae_electricity_factor/X86</f>
        <v>0.00128271387337623</v>
      </c>
      <c r="AU86" s="220" t="n">
        <f aca="false">Algae_electricity_factor/Y86</f>
        <v>0.00126403570185922</v>
      </c>
      <c r="AV86" s="220" t="n">
        <f aca="false">Algae_electricity_factor/Z86</f>
        <v>0.00125241727550334</v>
      </c>
      <c r="AW86" s="220" t="n">
        <f aca="false">Algae_electricity_factor/AA86</f>
        <v>0.00124526046147385</v>
      </c>
      <c r="AX86" s="220" t="n">
        <f aca="false">Algae_electricity_factor/AB86</f>
        <v>0.00124087843349525</v>
      </c>
      <c r="AY86" s="220" t="n">
        <f aca="false">Algae_electricity_factor/AC86</f>
        <v>0.00123820526504137</v>
      </c>
      <c r="AZ86" s="221" t="n">
        <f aca="false">Algae_yield_cost_factor/H86</f>
        <v>0.136634788071025</v>
      </c>
      <c r="BA86" s="197" t="n">
        <f aca="false">Algae_yield_cost_factor/I86</f>
        <v>0.136634788071025</v>
      </c>
      <c r="BB86" s="197" t="n">
        <f aca="false">Algae_yield_cost_factor/J86</f>
        <v>0.136634788071025</v>
      </c>
      <c r="BC86" s="197" t="n">
        <f aca="false">Algae_yield_cost_factor/K86</f>
        <v>0.136634788071025</v>
      </c>
      <c r="BD86" s="197" t="n">
        <f aca="false">Algae_yield_cost_factor/L86</f>
        <v>0.136634788071025</v>
      </c>
      <c r="BE86" s="197" t="n">
        <f aca="false">Algae_yield_cost_factor/M86</f>
        <v>0.130448169717745</v>
      </c>
      <c r="BF86" s="197" t="n">
        <f aca="false">Algae_yield_cost_factor/N86</f>
        <v>0.127000742856579</v>
      </c>
      <c r="BG86" s="197" t="n">
        <f aca="false">Algae_yield_cost_factor/O86</f>
        <v>0.122082229578315</v>
      </c>
      <c r="BH86" s="197" t="n">
        <f aca="false">Algae_yield_cost_factor/P86</f>
        <v>0.115554667351211</v>
      </c>
      <c r="BI86" s="197" t="n">
        <f aca="false">Algae_yield_cost_factor/Q86</f>
        <v>0.107676198262571</v>
      </c>
      <c r="BJ86" s="197" t="n">
        <f aca="false">Algae_yield_cost_factor/R86</f>
        <v>0.0991874803886798</v>
      </c>
      <c r="BK86" s="197" t="n">
        <f aca="false">Algae_yield_cost_factor/S86</f>
        <v>0.0910898587140166</v>
      </c>
      <c r="BL86" s="197" t="n">
        <f aca="false">Algae_yield_cost_factor/T86</f>
        <v>0.0842146150867222</v>
      </c>
      <c r="BM86" s="197" t="n">
        <f aca="false">Algae_yield_cost_factor/U86</f>
        <v>0.0789313485735188</v>
      </c>
      <c r="BN86" s="197" t="n">
        <f aca="false">Algae_yield_cost_factor/V86</f>
        <v>0.0751742445003766</v>
      </c>
      <c r="BO86" s="197" t="n">
        <f aca="false">Algae_yield_cost_factor/W86</f>
        <v>0.072647277939163</v>
      </c>
      <c r="BP86" s="197" t="n">
        <f aca="false">Algae_yield_cost_factor/X86</f>
        <v>0.0710107678406644</v>
      </c>
      <c r="BQ86" s="197" t="n">
        <f aca="false">Algae_yield_cost_factor/Y86</f>
        <v>0.0699767482289549</v>
      </c>
      <c r="BR86" s="197" t="n">
        <f aca="false">Algae_yield_cost_factor/Z86</f>
        <v>0.0693335546113016</v>
      </c>
      <c r="BS86" s="197" t="n">
        <f aca="false">Algae_yield_cost_factor/AA86</f>
        <v>0.0689373549052913</v>
      </c>
      <c r="BT86" s="197" t="n">
        <f aca="false">Algae_yield_cost_factor/AB86</f>
        <v>0.0686947667662538</v>
      </c>
      <c r="BU86" s="197" t="n">
        <f aca="false">Algae_yield_cost_factor/AC86</f>
        <v>0.0685467807278881</v>
      </c>
    </row>
    <row r="87" customFormat="false" ht="15" hidden="false" customHeight="false" outlineLevel="0" collapsed="false">
      <c r="A87" s="18" t="s">
        <v>703</v>
      </c>
      <c r="B87" s="18" t="s">
        <v>22</v>
      </c>
      <c r="C87" s="18" t="s">
        <v>683</v>
      </c>
      <c r="D87" s="18" t="s">
        <v>683</v>
      </c>
      <c r="E87" s="28" t="n">
        <v>4.66835</v>
      </c>
      <c r="F87" s="185" t="n">
        <f aca="false">E87/$B$2*$F$3/1000</f>
        <v>0.0114374575</v>
      </c>
      <c r="G87" s="18" t="n">
        <f aca="false">LOOKUP(RIGHT(D87,5),Ref!$C$4:$C$21,Ref!$E$4:$E$21)*$G$3</f>
        <v>3</v>
      </c>
      <c r="H87" s="218" t="n">
        <f aca="false">$E87</f>
        <v>4.66835</v>
      </c>
      <c r="I87" s="177" t="n">
        <f aca="false">$E87</f>
        <v>4.66835</v>
      </c>
      <c r="J87" s="177" t="n">
        <f aca="false">$E87</f>
        <v>4.66835</v>
      </c>
      <c r="K87" s="177" t="n">
        <f aca="false">$E87</f>
        <v>4.66835</v>
      </c>
      <c r="L87" s="177" t="n">
        <f aca="false">$E87</f>
        <v>4.66835</v>
      </c>
      <c r="M87" s="177" t="n">
        <f aca="false">M$3*$E87</f>
        <v>4.88975057504849</v>
      </c>
      <c r="N87" s="177" t="n">
        <f aca="false">N$3*$E87</f>
        <v>5.02248253470217</v>
      </c>
      <c r="O87" s="177" t="n">
        <f aca="false">O$3*$E87</f>
        <v>5.22483096102195</v>
      </c>
      <c r="P87" s="177" t="n">
        <f aca="false">P$3*$E87</f>
        <v>5.5199761940614</v>
      </c>
      <c r="Q87" s="177" t="n">
        <f aca="false">Q$3*$E87</f>
        <v>5.92386268445262</v>
      </c>
      <c r="R87" s="177" t="n">
        <f aca="false">R$3*$E87</f>
        <v>6.43084198118382</v>
      </c>
      <c r="S87" s="177" t="n">
        <f aca="false">S$3*$E87</f>
        <v>7.002525</v>
      </c>
      <c r="T87" s="177" t="n">
        <f aca="false">T$3*$E87</f>
        <v>7.57420801881618</v>
      </c>
      <c r="U87" s="177" t="n">
        <f aca="false">U$3*$E87</f>
        <v>8.08118731554738</v>
      </c>
      <c r="V87" s="177" t="n">
        <f aca="false">V$3*$E87</f>
        <v>8.4850738059386</v>
      </c>
      <c r="W87" s="177" t="n">
        <f aca="false">W$3*$E87</f>
        <v>8.78021903897805</v>
      </c>
      <c r="X87" s="177" t="n">
        <f aca="false">X$3*$E87</f>
        <v>8.98256746529783</v>
      </c>
      <c r="Y87" s="177" t="n">
        <f aca="false">Y$3*$E87</f>
        <v>9.11529942495151</v>
      </c>
      <c r="Z87" s="177" t="n">
        <f aca="false">Z$3*$E87</f>
        <v>9.19986024757191</v>
      </c>
      <c r="AA87" s="177" t="n">
        <f aca="false">AA$3*$E87</f>
        <v>9.25273407672347</v>
      </c>
      <c r="AB87" s="177" t="n">
        <f aca="false">AB$3*$E87</f>
        <v>9.28540910637047</v>
      </c>
      <c r="AC87" s="177" t="n">
        <f aca="false">AC$3*$E87</f>
        <v>9.30545542938762</v>
      </c>
      <c r="AD87" s="219" t="n">
        <f aca="false">Algae_electricity_factor/H87</f>
        <v>0.00294399458128231</v>
      </c>
      <c r="AE87" s="220" t="n">
        <f aca="false">Algae_electricity_factor/I87</f>
        <v>0.00294399458128231</v>
      </c>
      <c r="AF87" s="220" t="n">
        <f aca="false">Algae_electricity_factor/J87</f>
        <v>0.00294399458128231</v>
      </c>
      <c r="AG87" s="220" t="n">
        <f aca="false">Algae_electricity_factor/K87</f>
        <v>0.00294399458128231</v>
      </c>
      <c r="AH87" s="220" t="n">
        <f aca="false">Algae_electricity_factor/L87</f>
        <v>0.00294399458128231</v>
      </c>
      <c r="AI87" s="220" t="n">
        <f aca="false">Algae_electricity_factor/M87</f>
        <v>0.00281069492044448</v>
      </c>
      <c r="AJ87" s="220" t="n">
        <f aca="false">Algae_electricity_factor/N87</f>
        <v>0.00273641511116658</v>
      </c>
      <c r="AK87" s="220" t="n">
        <f aca="false">Algae_electricity_factor/O87</f>
        <v>0.00263043861247543</v>
      </c>
      <c r="AL87" s="220" t="n">
        <f aca="false">Algae_electricity_factor/P87</f>
        <v>0.00248979282162759</v>
      </c>
      <c r="AM87" s="220" t="n">
        <f aca="false">Algae_electricity_factor/Q87</f>
        <v>0.00232003978410908</v>
      </c>
      <c r="AN87" s="220" t="n">
        <f aca="false">Algae_electricity_factor/R87</f>
        <v>0.00213713805186662</v>
      </c>
      <c r="AO87" s="220" t="n">
        <f aca="false">Algae_electricity_factor/S87</f>
        <v>0.0019626630541882</v>
      </c>
      <c r="AP87" s="220" t="n">
        <f aca="false">Algae_electricity_factor/T87</f>
        <v>0.00181452596355775</v>
      </c>
      <c r="AQ87" s="220" t="n">
        <f aca="false">Algae_electricity_factor/U87</f>
        <v>0.00170069032765618</v>
      </c>
      <c r="AR87" s="220" t="n">
        <f aca="false">Algae_electricity_factor/V87</f>
        <v>0.00161973807392345</v>
      </c>
      <c r="AS87" s="220" t="n">
        <f aca="false">Algae_electricity_factor/W87</f>
        <v>0.0015652909161511</v>
      </c>
      <c r="AT87" s="220" t="n">
        <f aca="false">Algae_electricity_factor/X87</f>
        <v>0.00153002993371601</v>
      </c>
      <c r="AU87" s="220" t="n">
        <f aca="false">Algae_electricity_factor/Y87</f>
        <v>0.00150775048221769</v>
      </c>
      <c r="AV87" s="220" t="n">
        <f aca="false">Algae_electricity_factor/Z87</f>
        <v>0.00149389194332127</v>
      </c>
      <c r="AW87" s="220" t="n">
        <f aca="false">Algae_electricity_factor/AA87</f>
        <v>0.00148535524630532</v>
      </c>
      <c r="AX87" s="220" t="n">
        <f aca="false">Algae_electricity_factor/AB87</f>
        <v>0.00148012833318245</v>
      </c>
      <c r="AY87" s="220" t="n">
        <f aca="false">Algae_electricity_factor/AC87</f>
        <v>0.00147693975945826</v>
      </c>
      <c r="AZ87" s="221" t="n">
        <f aca="false">Algae_yield_cost_factor/H87</f>
        <v>0.162978915309739</v>
      </c>
      <c r="BA87" s="197" t="n">
        <f aca="false">Algae_yield_cost_factor/I87</f>
        <v>0.162978915309739</v>
      </c>
      <c r="BB87" s="197" t="n">
        <f aca="false">Algae_yield_cost_factor/J87</f>
        <v>0.162978915309739</v>
      </c>
      <c r="BC87" s="197" t="n">
        <f aca="false">Algae_yield_cost_factor/K87</f>
        <v>0.162978915309739</v>
      </c>
      <c r="BD87" s="197" t="n">
        <f aca="false">Algae_yield_cost_factor/L87</f>
        <v>0.162978915309739</v>
      </c>
      <c r="BE87" s="197" t="n">
        <f aca="false">Algae_yield_cost_factor/M87</f>
        <v>0.155599474371691</v>
      </c>
      <c r="BF87" s="197" t="n">
        <f aca="false">Algae_yield_cost_factor/N87</f>
        <v>0.151487359892101</v>
      </c>
      <c r="BG87" s="197" t="n">
        <f aca="false">Algae_yield_cost_factor/O87</f>
        <v>0.14562052341257</v>
      </c>
      <c r="BH87" s="197" t="n">
        <f aca="false">Algae_yield_cost_factor/P87</f>
        <v>0.137834402276003</v>
      </c>
      <c r="BI87" s="197" t="n">
        <f aca="false">Algae_yield_cost_factor/Q87</f>
        <v>0.128436910140249</v>
      </c>
      <c r="BJ87" s="197" t="n">
        <f aca="false">Algae_yield_cost_factor/R87</f>
        <v>0.118311509054707</v>
      </c>
      <c r="BK87" s="197" t="n">
        <f aca="false">Algae_yield_cost_factor/S87</f>
        <v>0.108652610206492</v>
      </c>
      <c r="BL87" s="197" t="n">
        <f aca="false">Algae_yield_cost_factor/T87</f>
        <v>0.100451772303599</v>
      </c>
      <c r="BM87" s="197" t="n">
        <f aca="false">Algae_yield_cost_factor/U87</f>
        <v>0.0941498556557938</v>
      </c>
      <c r="BN87" s="197" t="n">
        <f aca="false">Algae_yield_cost_factor/V87</f>
        <v>0.0896683560670637</v>
      </c>
      <c r="BO87" s="197" t="n">
        <f aca="false">Algae_yield_cost_factor/W87</f>
        <v>0.0866541729663699</v>
      </c>
      <c r="BP87" s="197" t="n">
        <f aca="false">Algae_yield_cost_factor/X87</f>
        <v>0.084702132461077</v>
      </c>
      <c r="BQ87" s="197" t="n">
        <f aca="false">Algae_yield_cost_factor/Y87</f>
        <v>0.083468746753787</v>
      </c>
      <c r="BR87" s="197" t="n">
        <f aca="false">Algae_yield_cost_factor/Z87</f>
        <v>0.0827015409812366</v>
      </c>
      <c r="BS87" s="197" t="n">
        <f aca="false">Algae_yield_cost_factor/AA87</f>
        <v>0.082228951245905</v>
      </c>
      <c r="BT87" s="197" t="n">
        <f aca="false">Algae_yield_cost_factor/AB87</f>
        <v>0.0819395904445636</v>
      </c>
      <c r="BU87" s="197" t="n">
        <f aca="false">Algae_yield_cost_factor/AC87</f>
        <v>0.0817630716798015</v>
      </c>
    </row>
    <row r="88" customFormat="false" ht="15" hidden="false" customHeight="false" outlineLevel="0" collapsed="false">
      <c r="A88" s="18" t="s">
        <v>703</v>
      </c>
      <c r="B88" s="18" t="s">
        <v>22</v>
      </c>
      <c r="C88" s="18" t="s">
        <v>684</v>
      </c>
      <c r="D88" s="18" t="s">
        <v>684</v>
      </c>
      <c r="E88" s="28" t="n">
        <v>3.87557</v>
      </c>
      <c r="F88" s="185" t="n">
        <f aca="false">E88/$B$2*$F$3/1000</f>
        <v>0.0094951465</v>
      </c>
      <c r="G88" s="18" t="n">
        <f aca="false">LOOKUP(RIGHT(D88,5),Ref!$C$4:$C$21,Ref!$E$4:$E$21)*$G$3</f>
        <v>3.5</v>
      </c>
      <c r="H88" s="218" t="n">
        <f aca="false">$E88</f>
        <v>3.87557</v>
      </c>
      <c r="I88" s="177" t="n">
        <f aca="false">$E88</f>
        <v>3.87557</v>
      </c>
      <c r="J88" s="177" t="n">
        <f aca="false">$E88</f>
        <v>3.87557</v>
      </c>
      <c r="K88" s="177" t="n">
        <f aca="false">$E88</f>
        <v>3.87557</v>
      </c>
      <c r="L88" s="177" t="n">
        <f aca="false">$E88</f>
        <v>3.87557</v>
      </c>
      <c r="M88" s="177" t="n">
        <f aca="false">M$3*$E88</f>
        <v>4.05937229131078</v>
      </c>
      <c r="N88" s="177" t="n">
        <f aca="false">N$3*$E88</f>
        <v>4.16956368674493</v>
      </c>
      <c r="O88" s="177" t="n">
        <f aca="false">O$3*$E88</f>
        <v>4.33754926850126</v>
      </c>
      <c r="P88" s="177" t="n">
        <f aca="false">P$3*$E88</f>
        <v>4.5825728872982</v>
      </c>
      <c r="Q88" s="177" t="n">
        <f aca="false">Q$3*$E88</f>
        <v>4.91787130441891</v>
      </c>
      <c r="R88" s="177" t="n">
        <f aca="false">R$3*$E88</f>
        <v>5.33875528977403</v>
      </c>
      <c r="S88" s="177" t="n">
        <f aca="false">S$3*$E88</f>
        <v>5.813355</v>
      </c>
      <c r="T88" s="177" t="n">
        <f aca="false">T$3*$E88</f>
        <v>6.28795471022597</v>
      </c>
      <c r="U88" s="177" t="n">
        <f aca="false">U$3*$E88</f>
        <v>6.70883869558109</v>
      </c>
      <c r="V88" s="177" t="n">
        <f aca="false">V$3*$E88</f>
        <v>7.0441371127018</v>
      </c>
      <c r="W88" s="177" t="n">
        <f aca="false">W$3*$E88</f>
        <v>7.28916073149874</v>
      </c>
      <c r="X88" s="177" t="n">
        <f aca="false">X$3*$E88</f>
        <v>7.45714631325507</v>
      </c>
      <c r="Y88" s="177" t="n">
        <f aca="false">Y$3*$E88</f>
        <v>7.56733770868922</v>
      </c>
      <c r="Z88" s="177" t="n">
        <f aca="false">Z$3*$E88</f>
        <v>7.63753839786697</v>
      </c>
      <c r="AA88" s="177" t="n">
        <f aca="false">AA$3*$E88</f>
        <v>7.68143318425722</v>
      </c>
      <c r="AB88" s="177" t="n">
        <f aca="false">AB$3*$E88</f>
        <v>7.70855933474915</v>
      </c>
      <c r="AC88" s="177" t="n">
        <f aca="false">AC$3*$E88</f>
        <v>7.72520138774337</v>
      </c>
      <c r="AD88" s="219" t="n">
        <f aca="false">Algae_electricity_factor/H88</f>
        <v>0.00354621309988705</v>
      </c>
      <c r="AE88" s="220" t="n">
        <f aca="false">Algae_electricity_factor/I88</f>
        <v>0.00354621309988705</v>
      </c>
      <c r="AF88" s="220" t="n">
        <f aca="false">Algae_electricity_factor/J88</f>
        <v>0.00354621309988705</v>
      </c>
      <c r="AG88" s="220" t="n">
        <f aca="false">Algae_electricity_factor/K88</f>
        <v>0.00354621309988705</v>
      </c>
      <c r="AH88" s="220" t="n">
        <f aca="false">Algae_electricity_factor/L88</f>
        <v>0.00354621309988705</v>
      </c>
      <c r="AI88" s="220" t="n">
        <f aca="false">Algae_electricity_factor/M88</f>
        <v>0.00338564588740675</v>
      </c>
      <c r="AJ88" s="220" t="n">
        <f aca="false">Algae_electricity_factor/N88</f>
        <v>0.00329617152682432</v>
      </c>
      <c r="AK88" s="220" t="n">
        <f aca="false">Algae_electricity_factor/O88</f>
        <v>0.00316851665601439</v>
      </c>
      <c r="AL88" s="220" t="n">
        <f aca="false">Algae_electricity_factor/P88</f>
        <v>0.00299910060167799</v>
      </c>
      <c r="AM88" s="220" t="n">
        <f aca="false">Algae_electricity_factor/Q88</f>
        <v>0.00279462317185488</v>
      </c>
      <c r="AN88" s="220" t="n">
        <f aca="false">Algae_electricity_factor/R88</f>
        <v>0.00257430737270428</v>
      </c>
      <c r="AO88" s="220" t="n">
        <f aca="false">Algae_electricity_factor/S88</f>
        <v>0.00236414206659137</v>
      </c>
      <c r="AP88" s="220" t="n">
        <f aca="false">Algae_electricity_factor/T88</f>
        <v>0.00218570230494477</v>
      </c>
      <c r="AQ88" s="220" t="n">
        <f aca="false">Algae_electricity_factor/U88</f>
        <v>0.00204858064519896</v>
      </c>
      <c r="AR88" s="220" t="n">
        <f aca="false">Algae_electricity_factor/V88</f>
        <v>0.00195106893628563</v>
      </c>
      <c r="AS88" s="220" t="n">
        <f aca="false">Algae_electricity_factor/W88</f>
        <v>0.0018854841606303</v>
      </c>
      <c r="AT88" s="220" t="n">
        <f aca="false">Algae_electricity_factor/X88</f>
        <v>0.0018430102516696</v>
      </c>
      <c r="AU88" s="220" t="n">
        <f aca="false">Algae_electricity_factor/Y88</f>
        <v>0.00181617335350954</v>
      </c>
      <c r="AV88" s="220" t="n">
        <f aca="false">Algae_electricity_factor/Z88</f>
        <v>0.00179947993549435</v>
      </c>
      <c r="AW88" s="220" t="n">
        <f aca="false">Algae_electricity_factor/AA88</f>
        <v>0.00178919698627285</v>
      </c>
      <c r="AX88" s="220" t="n">
        <f aca="false">Algae_electricity_factor/AB88</f>
        <v>0.00178290086470178</v>
      </c>
      <c r="AY88" s="220" t="n">
        <f aca="false">Algae_electricity_factor/AC88</f>
        <v>0.00177906004176597</v>
      </c>
      <c r="AZ88" s="221" t="n">
        <f aca="false">Algae_yield_cost_factor/H88</f>
        <v>0.196317604710073</v>
      </c>
      <c r="BA88" s="197" t="n">
        <f aca="false">Algae_yield_cost_factor/I88</f>
        <v>0.196317604710073</v>
      </c>
      <c r="BB88" s="197" t="n">
        <f aca="false">Algae_yield_cost_factor/J88</f>
        <v>0.196317604710073</v>
      </c>
      <c r="BC88" s="197" t="n">
        <f aca="false">Algae_yield_cost_factor/K88</f>
        <v>0.196317604710073</v>
      </c>
      <c r="BD88" s="197" t="n">
        <f aca="false">Algae_yield_cost_factor/L88</f>
        <v>0.196317604710073</v>
      </c>
      <c r="BE88" s="197" t="n">
        <f aca="false">Algae_yield_cost_factor/M88</f>
        <v>0.187428637899221</v>
      </c>
      <c r="BF88" s="197" t="n">
        <f aca="false">Algae_yield_cost_factor/N88</f>
        <v>0.182475356283666</v>
      </c>
      <c r="BG88" s="197" t="n">
        <f aca="false">Algae_yield_cost_factor/O88</f>
        <v>0.175408409723749</v>
      </c>
      <c r="BH88" s="197" t="n">
        <f aca="false">Algae_yield_cost_factor/P88</f>
        <v>0.166029572905451</v>
      </c>
      <c r="BI88" s="197" t="n">
        <f aca="false">Algae_yield_cost_factor/Q88</f>
        <v>0.154709745780165</v>
      </c>
      <c r="BJ88" s="197" t="n">
        <f aca="false">Algae_yield_cost_factor/R88</f>
        <v>0.142513109889781</v>
      </c>
      <c r="BK88" s="197" t="n">
        <f aca="false">Algae_yield_cost_factor/S88</f>
        <v>0.130878403140049</v>
      </c>
      <c r="BL88" s="197" t="n">
        <f aca="false">Algae_yield_cost_factor/T88</f>
        <v>0.121000015799871</v>
      </c>
      <c r="BM88" s="197" t="n">
        <f aca="false">Algae_yield_cost_factor/U88</f>
        <v>0.113408989813298</v>
      </c>
      <c r="BN88" s="197" t="n">
        <f aca="false">Algae_yield_cost_factor/V88</f>
        <v>0.108010762299656</v>
      </c>
      <c r="BO88" s="197" t="n">
        <f aca="false">Algae_yield_cost_factor/W88</f>
        <v>0.104380003036341</v>
      </c>
      <c r="BP88" s="197" t="n">
        <f aca="false">Algae_yield_cost_factor/X88</f>
        <v>0.102028656449159</v>
      </c>
      <c r="BQ88" s="197" t="n">
        <f aca="false">Algae_yield_cost_factor/Y88</f>
        <v>0.100542971461757</v>
      </c>
      <c r="BR88" s="197" t="n">
        <f aca="false">Algae_yield_cost_factor/Z88</f>
        <v>0.0996188273827478</v>
      </c>
      <c r="BS88" s="197" t="n">
        <f aca="false">Algae_yield_cost_factor/AA88</f>
        <v>0.0990495654958678</v>
      </c>
      <c r="BT88" s="197" t="n">
        <f aca="false">Algae_yield_cost_factor/AB88</f>
        <v>0.0987010135417186</v>
      </c>
      <c r="BU88" s="197" t="n">
        <f aca="false">Algae_yield_cost_factor/AC88</f>
        <v>0.0984883863990075</v>
      </c>
    </row>
    <row r="89" customFormat="false" ht="15" hidden="false" customHeight="false" outlineLevel="0" collapsed="false">
      <c r="A89" s="18" t="s">
        <v>703</v>
      </c>
      <c r="B89" s="18" t="s">
        <v>22</v>
      </c>
      <c r="C89" s="18" t="s">
        <v>685</v>
      </c>
      <c r="D89" s="18" t="s">
        <v>685</v>
      </c>
      <c r="E89" s="28" t="n">
        <v>3.917545</v>
      </c>
      <c r="F89" s="185" t="n">
        <f aca="false">E89/$B$2*$F$3/1000</f>
        <v>0.00959798525</v>
      </c>
      <c r="G89" s="18" t="n">
        <f aca="false">LOOKUP(RIGHT(D89,5),Ref!$C$4:$C$21,Ref!$E$4:$E$21)*$G$3</f>
        <v>4</v>
      </c>
      <c r="H89" s="218" t="n">
        <f aca="false">$E89</f>
        <v>3.917545</v>
      </c>
      <c r="I89" s="177" t="n">
        <f aca="false">$E89</f>
        <v>3.917545</v>
      </c>
      <c r="J89" s="177" t="n">
        <f aca="false">$E89</f>
        <v>3.917545</v>
      </c>
      <c r="K89" s="177" t="n">
        <f aca="false">$E89</f>
        <v>3.917545</v>
      </c>
      <c r="L89" s="177" t="n">
        <f aca="false">$E89</f>
        <v>3.917545</v>
      </c>
      <c r="M89" s="177" t="n">
        <f aca="false">M$3*$E89</f>
        <v>4.10333799233741</v>
      </c>
      <c r="N89" s="177" t="n">
        <f aca="false">N$3*$E89</f>
        <v>4.21472283385132</v>
      </c>
      <c r="O89" s="177" t="n">
        <f aca="false">O$3*$E89</f>
        <v>4.38452781115314</v>
      </c>
      <c r="P89" s="177" t="n">
        <f aca="false">P$3*$E89</f>
        <v>4.63220519865997</v>
      </c>
      <c r="Q89" s="177" t="n">
        <f aca="false">Q$3*$E89</f>
        <v>4.97113512058092</v>
      </c>
      <c r="R89" s="177" t="n">
        <f aca="false">R$3*$E89</f>
        <v>5.39657755934683</v>
      </c>
      <c r="S89" s="177" t="n">
        <f aca="false">S$3*$E89</f>
        <v>5.8763175</v>
      </c>
      <c r="T89" s="177" t="n">
        <f aca="false">T$3*$E89</f>
        <v>6.35605744065317</v>
      </c>
      <c r="U89" s="177" t="n">
        <f aca="false">U$3*$E89</f>
        <v>6.78149987941908</v>
      </c>
      <c r="V89" s="177" t="n">
        <f aca="false">V$3*$E89</f>
        <v>7.12042980134003</v>
      </c>
      <c r="W89" s="177" t="n">
        <f aca="false">W$3*$E89</f>
        <v>7.36810718884686</v>
      </c>
      <c r="X89" s="177" t="n">
        <f aca="false">X$3*$E89</f>
        <v>7.53791216614868</v>
      </c>
      <c r="Y89" s="177" t="n">
        <f aca="false">Y$3*$E89</f>
        <v>7.64929700766259</v>
      </c>
      <c r="Z89" s="177" t="n">
        <f aca="false">Z$3*$E89</f>
        <v>7.72025801698118</v>
      </c>
      <c r="AA89" s="177" t="n">
        <f aca="false">AA$3*$E89</f>
        <v>7.76462821309406</v>
      </c>
      <c r="AB89" s="177" t="n">
        <f aca="false">AB$3*$E89</f>
        <v>7.79204815783223</v>
      </c>
      <c r="AC89" s="177" t="n">
        <f aca="false">AC$3*$E89</f>
        <v>7.80887045532582</v>
      </c>
      <c r="AD89" s="219" t="n">
        <f aca="false">Algae_electricity_factor/H89</f>
        <v>0.00350821677952117</v>
      </c>
      <c r="AE89" s="220" t="n">
        <f aca="false">Algae_electricity_factor/I89</f>
        <v>0.00350821677952117</v>
      </c>
      <c r="AF89" s="220" t="n">
        <f aca="false">Algae_electricity_factor/J89</f>
        <v>0.00350821677952117</v>
      </c>
      <c r="AG89" s="220" t="n">
        <f aca="false">Algae_electricity_factor/K89</f>
        <v>0.00350821677952117</v>
      </c>
      <c r="AH89" s="220" t="n">
        <f aca="false">Algae_electricity_factor/L89</f>
        <v>0.00350821677952117</v>
      </c>
      <c r="AI89" s="220" t="n">
        <f aca="false">Algae_electricity_factor/M89</f>
        <v>0.00334936998346081</v>
      </c>
      <c r="AJ89" s="220" t="n">
        <f aca="false">Algae_electricity_factor/N89</f>
        <v>0.00326085430651454</v>
      </c>
      <c r="AK89" s="220" t="n">
        <f aca="false">Algae_electricity_factor/O89</f>
        <v>0.00313456720894072</v>
      </c>
      <c r="AL89" s="220" t="n">
        <f aca="false">Algae_electricity_factor/P89</f>
        <v>0.00296696638298862</v>
      </c>
      <c r="AM89" s="220" t="n">
        <f aca="false">Algae_electricity_factor/Q89</f>
        <v>0.00276467985081106</v>
      </c>
      <c r="AN89" s="220" t="n">
        <f aca="false">Algae_electricity_factor/R89</f>
        <v>0.00254672465139048</v>
      </c>
      <c r="AO89" s="220" t="n">
        <f aca="false">Algae_electricity_factor/S89</f>
        <v>0.00233881118634745</v>
      </c>
      <c r="AP89" s="220" t="n">
        <f aca="false">Algae_electricity_factor/T89</f>
        <v>0.00216228333866613</v>
      </c>
      <c r="AQ89" s="220" t="n">
        <f aca="false">Algae_electricity_factor/U89</f>
        <v>0.00202663088518798</v>
      </c>
      <c r="AR89" s="220" t="n">
        <f aca="false">Algae_electricity_factor/V89</f>
        <v>0.00193016397703167</v>
      </c>
      <c r="AS89" s="220" t="n">
        <f aca="false">Algae_electricity_factor/W89</f>
        <v>0.00186528191722469</v>
      </c>
      <c r="AT89" s="220" t="n">
        <f aca="false">Algae_electricity_factor/X89</f>
        <v>0.00182326309999327</v>
      </c>
      <c r="AU89" s="220" t="n">
        <f aca="false">Algae_electricity_factor/Y89</f>
        <v>0.00179671374895782</v>
      </c>
      <c r="AV89" s="220" t="n">
        <f aca="false">Algae_electricity_factor/Z89</f>
        <v>0.00178019919454756</v>
      </c>
      <c r="AW89" s="220" t="n">
        <f aca="false">Algae_electricity_factor/AA89</f>
        <v>0.00177002642320368</v>
      </c>
      <c r="AX89" s="220" t="n">
        <f aca="false">Algae_electricity_factor/AB89</f>
        <v>0.00176379776217307</v>
      </c>
      <c r="AY89" s="220" t="n">
        <f aca="false">Algae_electricity_factor/AC89</f>
        <v>0.00175999809218961</v>
      </c>
      <c r="AZ89" s="221" t="n">
        <f aca="false">Algae_yield_cost_factor/H89</f>
        <v>0.194214136477365</v>
      </c>
      <c r="BA89" s="197" t="n">
        <f aca="false">Algae_yield_cost_factor/I89</f>
        <v>0.194214136477365</v>
      </c>
      <c r="BB89" s="197" t="n">
        <f aca="false">Algae_yield_cost_factor/J89</f>
        <v>0.194214136477365</v>
      </c>
      <c r="BC89" s="197" t="n">
        <f aca="false">Algae_yield_cost_factor/K89</f>
        <v>0.194214136477365</v>
      </c>
      <c r="BD89" s="197" t="n">
        <f aca="false">Algae_yield_cost_factor/L89</f>
        <v>0.194214136477365</v>
      </c>
      <c r="BE89" s="197" t="n">
        <f aca="false">Algae_yield_cost_factor/M89</f>
        <v>0.185420411554451</v>
      </c>
      <c r="BF89" s="197" t="n">
        <f aca="false">Algae_yield_cost_factor/N89</f>
        <v>0.180520202461564</v>
      </c>
      <c r="BG89" s="197" t="n">
        <f aca="false">Algae_yield_cost_factor/O89</f>
        <v>0.173528975537759</v>
      </c>
      <c r="BH89" s="197" t="n">
        <f aca="false">Algae_yield_cost_factor/P89</f>
        <v>0.164250629377627</v>
      </c>
      <c r="BI89" s="197" t="n">
        <f aca="false">Algae_yield_cost_factor/Q89</f>
        <v>0.153052089881095</v>
      </c>
      <c r="BJ89" s="197" t="n">
        <f aca="false">Algae_yield_cost_factor/R89</f>
        <v>0.140986136290851</v>
      </c>
      <c r="BK89" s="197" t="n">
        <f aca="false">Algae_yield_cost_factor/S89</f>
        <v>0.12947609098491</v>
      </c>
      <c r="BL89" s="197" t="n">
        <f aca="false">Algae_yield_cost_factor/T89</f>
        <v>0.119703546796146</v>
      </c>
      <c r="BM89" s="197" t="n">
        <f aca="false">Algae_yield_cost_factor/U89</f>
        <v>0.112193855756788</v>
      </c>
      <c r="BN89" s="197" t="n">
        <f aca="false">Algae_yield_cost_factor/V89</f>
        <v>0.106853468191349</v>
      </c>
      <c r="BO89" s="197" t="n">
        <f aca="false">Algae_yield_cost_factor/W89</f>
        <v>0.103261611128284</v>
      </c>
      <c r="BP89" s="197" t="n">
        <f aca="false">Algae_yield_cost_factor/X89</f>
        <v>0.100935458322666</v>
      </c>
      <c r="BQ89" s="197" t="n">
        <f aca="false">Algae_yield_cost_factor/Y89</f>
        <v>0.0994656918830649</v>
      </c>
      <c r="BR89" s="197" t="n">
        <f aca="false">Algae_yield_cost_factor/Z89</f>
        <v>0.0985514496552703</v>
      </c>
      <c r="BS89" s="197" t="n">
        <f aca="false">Algae_yield_cost_factor/AA89</f>
        <v>0.0979882871923157</v>
      </c>
      <c r="BT89" s="197" t="n">
        <f aca="false">Algae_yield_cost_factor/AB89</f>
        <v>0.097643469839371</v>
      </c>
      <c r="BU89" s="197" t="n">
        <f aca="false">Algae_yield_cost_factor/AC89</f>
        <v>0.0974331209153695</v>
      </c>
    </row>
    <row r="90" customFormat="false" ht="15" hidden="false" customHeight="false" outlineLevel="0" collapsed="false">
      <c r="A90" s="18" t="s">
        <v>703</v>
      </c>
      <c r="B90" s="18" t="s">
        <v>22</v>
      </c>
      <c r="C90" s="18" t="s">
        <v>686</v>
      </c>
      <c r="D90" s="18" t="s">
        <v>686</v>
      </c>
      <c r="E90" s="28" t="n">
        <v>5.03919</v>
      </c>
      <c r="F90" s="185" t="n">
        <f aca="false">E90/$B$2*$F$3/1000</f>
        <v>0.0123460155</v>
      </c>
      <c r="G90" s="18" t="n">
        <f aca="false">LOOKUP(RIGHT(D90,5),Ref!$C$4:$C$21,Ref!$E$4:$E$21)*$G$3</f>
        <v>4.5</v>
      </c>
      <c r="H90" s="218" t="n">
        <f aca="false">$E90</f>
        <v>5.03919</v>
      </c>
      <c r="I90" s="177" t="n">
        <f aca="false">$E90</f>
        <v>5.03919</v>
      </c>
      <c r="J90" s="177" t="n">
        <f aca="false">$E90</f>
        <v>5.03919</v>
      </c>
      <c r="K90" s="177" t="n">
        <f aca="false">$E90</f>
        <v>5.03919</v>
      </c>
      <c r="L90" s="177" t="n">
        <f aca="false">$E90</f>
        <v>5.03919</v>
      </c>
      <c r="M90" s="177" t="n">
        <f aca="false">M$3*$E90</f>
        <v>5.27817798585766</v>
      </c>
      <c r="N90" s="177" t="n">
        <f aca="false">N$3*$E90</f>
        <v>5.42145378218125</v>
      </c>
      <c r="O90" s="177" t="n">
        <f aca="false">O$3*$E90</f>
        <v>5.63987617262463</v>
      </c>
      <c r="P90" s="177" t="n">
        <f aca="false">P$3*$E90</f>
        <v>5.95846687530975</v>
      </c>
      <c r="Q90" s="177" t="n">
        <f aca="false">Q$3*$E90</f>
        <v>6.39443692115347</v>
      </c>
      <c r="R90" s="177" t="n">
        <f aca="false">R$3*$E90</f>
        <v>6.94168916280093</v>
      </c>
      <c r="S90" s="177" t="n">
        <f aca="false">S$3*$E90</f>
        <v>7.558785</v>
      </c>
      <c r="T90" s="177" t="n">
        <f aca="false">T$3*$E90</f>
        <v>8.17588083719907</v>
      </c>
      <c r="U90" s="177" t="n">
        <f aca="false">U$3*$E90</f>
        <v>8.72313307884653</v>
      </c>
      <c r="V90" s="177" t="n">
        <f aca="false">V$3*$E90</f>
        <v>9.15910312469025</v>
      </c>
      <c r="W90" s="177" t="n">
        <f aca="false">W$3*$E90</f>
        <v>9.47769382737536</v>
      </c>
      <c r="X90" s="177" t="n">
        <f aca="false">X$3*$E90</f>
        <v>9.69611621781875</v>
      </c>
      <c r="Y90" s="177" t="n">
        <f aca="false">Y$3*$E90</f>
        <v>9.83939201414234</v>
      </c>
      <c r="Z90" s="177" t="n">
        <f aca="false">Z$3*$E90</f>
        <v>9.93067009992007</v>
      </c>
      <c r="AA90" s="177" t="n">
        <f aca="false">AA$3*$E90</f>
        <v>9.98774407062113</v>
      </c>
      <c r="AB90" s="177" t="n">
        <f aca="false">AB$3*$E90</f>
        <v>10.0230147085653</v>
      </c>
      <c r="AC90" s="177" t="n">
        <f aca="false">AC$3*$E90</f>
        <v>10.0446534525509</v>
      </c>
      <c r="AD90" s="219" t="n">
        <f aca="false">Algae_electricity_factor/H90</f>
        <v>0.0027273425101116</v>
      </c>
      <c r="AE90" s="220" t="n">
        <f aca="false">Algae_electricity_factor/I90</f>
        <v>0.0027273425101116</v>
      </c>
      <c r="AF90" s="220" t="n">
        <f aca="false">Algae_electricity_factor/J90</f>
        <v>0.0027273425101116</v>
      </c>
      <c r="AG90" s="220" t="n">
        <f aca="false">Algae_electricity_factor/K90</f>
        <v>0.0027273425101116</v>
      </c>
      <c r="AH90" s="220" t="n">
        <f aca="false">Algae_electricity_factor/L90</f>
        <v>0.0027273425101116</v>
      </c>
      <c r="AI90" s="220" t="n">
        <f aca="false">Algae_electricity_factor/M90</f>
        <v>0.00260385253023938</v>
      </c>
      <c r="AJ90" s="220" t="n">
        <f aca="false">Algae_electricity_factor/N90</f>
        <v>0.00253503906068525</v>
      </c>
      <c r="AK90" s="220" t="n">
        <f aca="false">Algae_electricity_factor/O90</f>
        <v>0.0024368614988817</v>
      </c>
      <c r="AL90" s="220" t="n">
        <f aca="false">Algae_electricity_factor/P90</f>
        <v>0.00230656599946522</v>
      </c>
      <c r="AM90" s="220" t="n">
        <f aca="false">Algae_electricity_factor/Q90</f>
        <v>0.00214930529036325</v>
      </c>
      <c r="AN90" s="220" t="n">
        <f aca="false">Algae_electricity_factor/R90</f>
        <v>0.00197986351465841</v>
      </c>
      <c r="AO90" s="220" t="n">
        <f aca="false">Algae_electricity_factor/S90</f>
        <v>0.0018182283400744</v>
      </c>
      <c r="AP90" s="220" t="n">
        <f aca="false">Algae_electricity_factor/T90</f>
        <v>0.0016809928345577</v>
      </c>
      <c r="AQ90" s="220" t="n">
        <f aca="false">Algae_electricity_factor/U90</f>
        <v>0.00157553449882099</v>
      </c>
      <c r="AR90" s="220" t="n">
        <f aca="false">Algae_electricity_factor/V90</f>
        <v>0.00150053961795458</v>
      </c>
      <c r="AS90" s="220" t="n">
        <f aca="false">Algae_electricity_factor/W90</f>
        <v>0.00145009929143652</v>
      </c>
      <c r="AT90" s="220" t="n">
        <f aca="false">Algae_electricity_factor/X90</f>
        <v>0.00141743320673822</v>
      </c>
      <c r="AU90" s="220" t="n">
        <f aca="false">Algae_electricity_factor/Y90</f>
        <v>0.001396793326638</v>
      </c>
      <c r="AV90" s="220" t="n">
        <f aca="false">Algae_electricity_factor/Z90</f>
        <v>0.0013839546541416</v>
      </c>
      <c r="AW90" s="220" t="n">
        <f aca="false">Algae_electricity_factor/AA90</f>
        <v>0.00137604618283682</v>
      </c>
      <c r="AX90" s="220" t="n">
        <f aca="false">Algae_electricity_factor/AB90</f>
        <v>0.00137120392448236</v>
      </c>
      <c r="AY90" s="220" t="n">
        <f aca="false">Algae_electricity_factor/AC90</f>
        <v>0.00136825000170006</v>
      </c>
      <c r="AZ90" s="221" t="n">
        <f aca="false">Algae_yield_cost_factor/H90</f>
        <v>0.150985102622885</v>
      </c>
      <c r="BA90" s="197" t="n">
        <f aca="false">Algae_yield_cost_factor/I90</f>
        <v>0.150985102622885</v>
      </c>
      <c r="BB90" s="197" t="n">
        <f aca="false">Algae_yield_cost_factor/J90</f>
        <v>0.150985102622885</v>
      </c>
      <c r="BC90" s="197" t="n">
        <f aca="false">Algae_yield_cost_factor/K90</f>
        <v>0.150985102622885</v>
      </c>
      <c r="BD90" s="197" t="n">
        <f aca="false">Algae_yield_cost_factor/L90</f>
        <v>0.150985102622885</v>
      </c>
      <c r="BE90" s="197" t="n">
        <f aca="false">Algae_yield_cost_factor/M90</f>
        <v>0.144148723541498</v>
      </c>
      <c r="BF90" s="197" t="n">
        <f aca="false">Algae_yield_cost_factor/N90</f>
        <v>0.140339224469069</v>
      </c>
      <c r="BG90" s="197" t="n">
        <f aca="false">Algae_yield_cost_factor/O90</f>
        <v>0.134904135480716</v>
      </c>
      <c r="BH90" s="197" t="n">
        <f aca="false">Algae_yield_cost_factor/P90</f>
        <v>0.127691004281477</v>
      </c>
      <c r="BI90" s="197" t="n">
        <f aca="false">Algae_yield_cost_factor/Q90</f>
        <v>0.118985084796016</v>
      </c>
      <c r="BJ90" s="197" t="n">
        <f aca="false">Algae_yield_cost_factor/R90</f>
        <v>0.109604824048218</v>
      </c>
      <c r="BK90" s="197" t="n">
        <f aca="false">Algae_yield_cost_factor/S90</f>
        <v>0.100656735081924</v>
      </c>
      <c r="BL90" s="197" t="n">
        <f aca="false">Algae_yield_cost_factor/T90</f>
        <v>0.0930594066176325</v>
      </c>
      <c r="BM90" s="197" t="n">
        <f aca="false">Algae_yield_cost_factor/U90</f>
        <v>0.0872212555293063</v>
      </c>
      <c r="BN90" s="197" t="n">
        <f aca="false">Algae_yield_cost_factor/V90</f>
        <v>0.0830695548383127</v>
      </c>
      <c r="BO90" s="197" t="n">
        <f aca="false">Algae_yield_cost_factor/W90</f>
        <v>0.0802771890656143</v>
      </c>
      <c r="BP90" s="197" t="n">
        <f aca="false">Algae_yield_cost_factor/X90</f>
        <v>0.0784688015483975</v>
      </c>
      <c r="BQ90" s="197" t="n">
        <f aca="false">Algae_yield_cost_factor/Y90</f>
        <v>0.0773261821657929</v>
      </c>
      <c r="BR90" s="197" t="n">
        <f aca="false">Algae_yield_cost_factor/Z90</f>
        <v>0.0766154359807342</v>
      </c>
      <c r="BS90" s="197" t="n">
        <f aca="false">Algae_yield_cost_factor/AA90</f>
        <v>0.0761776246874638</v>
      </c>
      <c r="BT90" s="197" t="n">
        <f aca="false">Algae_yield_cost_factor/AB90</f>
        <v>0.0759095582924792</v>
      </c>
      <c r="BU90" s="197" t="n">
        <f aca="false">Algae_yield_cost_factor/AC90</f>
        <v>0.0757460297540679</v>
      </c>
    </row>
    <row r="91" customFormat="false" ht="15" hidden="false" customHeight="false" outlineLevel="0" collapsed="false">
      <c r="A91" s="18" t="s">
        <v>703</v>
      </c>
      <c r="B91" s="18" t="s">
        <v>22</v>
      </c>
      <c r="C91" s="18" t="s">
        <v>687</v>
      </c>
      <c r="D91" s="18" t="s">
        <v>687</v>
      </c>
      <c r="E91" s="28" t="n">
        <v>6.21741</v>
      </c>
      <c r="F91" s="185" t="n">
        <f aca="false">E91/$B$2*$F$3/1000</f>
        <v>0.0152326545</v>
      </c>
      <c r="G91" s="18" t="n">
        <f aca="false">LOOKUP(RIGHT(D91,5),Ref!$C$4:$C$21,Ref!$E$4:$E$21)*$G$3</f>
        <v>4.5</v>
      </c>
      <c r="H91" s="218" t="n">
        <f aca="false">$E91</f>
        <v>6.21741</v>
      </c>
      <c r="I91" s="177" t="n">
        <f aca="false">$E91</f>
        <v>6.21741</v>
      </c>
      <c r="J91" s="177" t="n">
        <f aca="false">$E91</f>
        <v>6.21741</v>
      </c>
      <c r="K91" s="177" t="n">
        <f aca="false">$E91</f>
        <v>6.21741</v>
      </c>
      <c r="L91" s="177" t="n">
        <f aca="false">$E91</f>
        <v>6.21741</v>
      </c>
      <c r="M91" s="177" t="n">
        <f aca="false">M$3*$E91</f>
        <v>6.51227609815294</v>
      </c>
      <c r="N91" s="177" t="n">
        <f aca="false">N$3*$E91</f>
        <v>6.68905140704588</v>
      </c>
      <c r="O91" s="177" t="n">
        <f aca="false">O$3*$E91</f>
        <v>6.95854343940953</v>
      </c>
      <c r="P91" s="177" t="n">
        <f aca="false">P$3*$E91</f>
        <v>7.35162427596888</v>
      </c>
      <c r="Q91" s="177" t="n">
        <f aca="false">Q$3*$E91</f>
        <v>7.88952908264002</v>
      </c>
      <c r="R91" s="177" t="n">
        <f aca="false">R$3*$E91</f>
        <v>8.56473512959228</v>
      </c>
      <c r="S91" s="177" t="n">
        <f aca="false">S$3*$E91</f>
        <v>9.326115</v>
      </c>
      <c r="T91" s="177" t="n">
        <f aca="false">T$3*$E91</f>
        <v>10.0874948704077</v>
      </c>
      <c r="U91" s="177" t="n">
        <f aca="false">U$3*$E91</f>
        <v>10.76270091736</v>
      </c>
      <c r="V91" s="177" t="n">
        <f aca="false">V$3*$E91</f>
        <v>11.3006057240311</v>
      </c>
      <c r="W91" s="177" t="n">
        <f aca="false">W$3*$E91</f>
        <v>11.6936865605905</v>
      </c>
      <c r="X91" s="177" t="n">
        <f aca="false">X$3*$E91</f>
        <v>11.9631785929541</v>
      </c>
      <c r="Y91" s="177" t="n">
        <f aca="false">Y$3*$E91</f>
        <v>12.1399539018471</v>
      </c>
      <c r="Z91" s="177" t="n">
        <f aca="false">Z$3*$E91</f>
        <v>12.2525738434042</v>
      </c>
      <c r="AA91" s="177" t="n">
        <f aca="false">AA$3*$E91</f>
        <v>12.3229923583196</v>
      </c>
      <c r="AB91" s="177" t="n">
        <f aca="false">AB$3*$E91</f>
        <v>12.3665096730191</v>
      </c>
      <c r="AC91" s="177" t="n">
        <f aca="false">AC$3*$E91</f>
        <v>12.3932078017348</v>
      </c>
      <c r="AD91" s="219" t="n">
        <f aca="false">Algae_electricity_factor/H91</f>
        <v>0.00221050197807918</v>
      </c>
      <c r="AE91" s="220" t="n">
        <f aca="false">Algae_electricity_factor/I91</f>
        <v>0.00221050197807918</v>
      </c>
      <c r="AF91" s="220" t="n">
        <f aca="false">Algae_electricity_factor/J91</f>
        <v>0.00221050197807918</v>
      </c>
      <c r="AG91" s="220" t="n">
        <f aca="false">Algae_electricity_factor/K91</f>
        <v>0.00221050197807918</v>
      </c>
      <c r="AH91" s="220" t="n">
        <f aca="false">Algae_electricity_factor/L91</f>
        <v>0.00221050197807918</v>
      </c>
      <c r="AI91" s="220" t="n">
        <f aca="false">Algae_electricity_factor/M91</f>
        <v>0.00211041376262093</v>
      </c>
      <c r="AJ91" s="220" t="n">
        <f aca="false">Algae_electricity_factor/N91</f>
        <v>0.00205464067581429</v>
      </c>
      <c r="AK91" s="220" t="n">
        <f aca="false">Algae_electricity_factor/O91</f>
        <v>0.00197506809049905</v>
      </c>
      <c r="AL91" s="220" t="n">
        <f aca="false">Algae_electricity_factor/P91</f>
        <v>0.00186946402422313</v>
      </c>
      <c r="AM91" s="220" t="n">
        <f aca="false">Algae_electricity_factor/Q91</f>
        <v>0.00174200474572943</v>
      </c>
      <c r="AN91" s="220" t="n">
        <f aca="false">Algae_electricity_factor/R91</f>
        <v>0.00160467275351497</v>
      </c>
      <c r="AO91" s="220" t="n">
        <f aca="false">Algae_electricity_factor/S91</f>
        <v>0.00147366798538612</v>
      </c>
      <c r="AP91" s="220" t="n">
        <f aca="false">Algae_electricity_factor/T91</f>
        <v>0.00136243906738896</v>
      </c>
      <c r="AQ91" s="220" t="n">
        <f aca="false">Algae_electricity_factor/U91</f>
        <v>0.00127696543916418</v>
      </c>
      <c r="AR91" s="220" t="n">
        <f aca="false">Algae_electricity_factor/V91</f>
        <v>0.00121618233917347</v>
      </c>
      <c r="AS91" s="220" t="n">
        <f aca="false">Algae_electricity_factor/W91</f>
        <v>0.00117530062331646</v>
      </c>
      <c r="AT91" s="220" t="n">
        <f aca="false">Algae_electricity_factor/X91</f>
        <v>0.00114882487097733</v>
      </c>
      <c r="AU91" s="220" t="n">
        <f aca="false">Algae_electricity_factor/Y91</f>
        <v>0.00113209631722228</v>
      </c>
      <c r="AV91" s="220" t="n">
        <f aca="false">Algae_electricity_factor/Z91</f>
        <v>0.00112169061612534</v>
      </c>
      <c r="AW91" s="220" t="n">
        <f aca="false">Algae_electricity_factor/AA91</f>
        <v>0.00111528082659652</v>
      </c>
      <c r="AX91" s="220" t="n">
        <f aca="false">Algae_electricity_factor/AB91</f>
        <v>0.00111135619240364</v>
      </c>
      <c r="AY91" s="220" t="n">
        <f aca="false">Algae_electricity_factor/AC91</f>
        <v>0.00110896204787314</v>
      </c>
      <c r="AZ91" s="221" t="n">
        <f aca="false">Algae_yield_cost_factor/H91</f>
        <v>0.122372920442148</v>
      </c>
      <c r="BA91" s="197" t="n">
        <f aca="false">Algae_yield_cost_factor/I91</f>
        <v>0.122372920442148</v>
      </c>
      <c r="BB91" s="197" t="n">
        <f aca="false">Algae_yield_cost_factor/J91</f>
        <v>0.122372920442148</v>
      </c>
      <c r="BC91" s="197" t="n">
        <f aca="false">Algae_yield_cost_factor/K91</f>
        <v>0.122372920442148</v>
      </c>
      <c r="BD91" s="197" t="n">
        <f aca="false">Algae_yield_cost_factor/L91</f>
        <v>0.122372920442148</v>
      </c>
      <c r="BE91" s="197" t="n">
        <f aca="false">Algae_yield_cost_factor/M91</f>
        <v>0.116832058072908</v>
      </c>
      <c r="BF91" s="197" t="n">
        <f aca="false">Algae_yield_cost_factor/N91</f>
        <v>0.113744471822236</v>
      </c>
      <c r="BG91" s="197" t="n">
        <f aca="false">Algae_yield_cost_factor/O91</f>
        <v>0.109339350384335</v>
      </c>
      <c r="BH91" s="197" t="n">
        <f aca="false">Algae_yield_cost_factor/P91</f>
        <v>0.103493131684283</v>
      </c>
      <c r="BI91" s="197" t="n">
        <f aca="false">Algae_yield_cost_factor/Q91</f>
        <v>0.0964370130734878</v>
      </c>
      <c r="BJ91" s="197" t="n">
        <f aca="false">Algae_yield_cost_factor/R91</f>
        <v>0.0888343431260831</v>
      </c>
      <c r="BK91" s="197" t="n">
        <f aca="false">Algae_yield_cost_factor/S91</f>
        <v>0.0815819469614323</v>
      </c>
      <c r="BL91" s="197" t="n">
        <f aca="false">Algae_yield_cost_factor/T91</f>
        <v>0.0754243376636746</v>
      </c>
      <c r="BM91" s="197" t="n">
        <f aca="false">Algae_yield_cost_factor/U91</f>
        <v>0.0706925357424916</v>
      </c>
      <c r="BN91" s="197" t="n">
        <f aca="false">Algae_yield_cost_factor/V91</f>
        <v>0.0673275962250643</v>
      </c>
      <c r="BO91" s="197" t="n">
        <f aca="false">Algae_yield_cost_factor/W91</f>
        <v>0.0650643931102425</v>
      </c>
      <c r="BP91" s="197" t="n">
        <f aca="false">Algae_yield_cost_factor/X91</f>
        <v>0.0635987010788526</v>
      </c>
      <c r="BQ91" s="197" t="n">
        <f aca="false">Algae_yield_cost_factor/Y91</f>
        <v>0.0626726118927402</v>
      </c>
      <c r="BR91" s="197" t="n">
        <f aca="false">Algae_yield_cost_factor/Z91</f>
        <v>0.0620965544880836</v>
      </c>
      <c r="BS91" s="197" t="n">
        <f aca="false">Algae_yield_cost_factor/AA91</f>
        <v>0.0617417098999134</v>
      </c>
      <c r="BT91" s="197" t="n">
        <f aca="false">Algae_yield_cost_factor/AB91</f>
        <v>0.0615244429837953</v>
      </c>
      <c r="BU91" s="197" t="n">
        <f aca="false">Algae_yield_cost_factor/AC91</f>
        <v>0.06139190365062</v>
      </c>
    </row>
    <row r="92" customFormat="false" ht="15" hidden="false" customHeight="false" outlineLevel="0" collapsed="false">
      <c r="A92" s="18" t="s">
        <v>703</v>
      </c>
      <c r="B92" s="18" t="s">
        <v>22</v>
      </c>
      <c r="C92" s="18" t="s">
        <v>688</v>
      </c>
      <c r="D92" s="18" t="s">
        <v>688</v>
      </c>
      <c r="E92" s="28" t="n">
        <v>5.08968775</v>
      </c>
      <c r="F92" s="185" t="n">
        <f aca="false">E92/$B$2*$F$3/1000</f>
        <v>0.0124697349875</v>
      </c>
      <c r="G92" s="18" t="n">
        <f aca="false">LOOKUP(RIGHT(D92,5),Ref!$C$4:$C$21,Ref!$E$4:$E$21)*$G$3</f>
        <v>4.5</v>
      </c>
      <c r="H92" s="218" t="n">
        <f aca="false">$E92</f>
        <v>5.08968775</v>
      </c>
      <c r="I92" s="177" t="n">
        <f aca="false">$E92</f>
        <v>5.08968775</v>
      </c>
      <c r="J92" s="177" t="n">
        <f aca="false">$E92</f>
        <v>5.08968775</v>
      </c>
      <c r="K92" s="177" t="n">
        <f aca="false">$E92</f>
        <v>5.08968775</v>
      </c>
      <c r="L92" s="177" t="n">
        <f aca="false">$E92</f>
        <v>5.08968775</v>
      </c>
      <c r="M92" s="177" t="n">
        <f aca="false">M$3*$E92</f>
        <v>5.33107063574492</v>
      </c>
      <c r="N92" s="177" t="n">
        <f aca="false">N$3*$E92</f>
        <v>5.47578219959142</v>
      </c>
      <c r="O92" s="177" t="n">
        <f aca="false">O$3*$E92</f>
        <v>5.69639340198018</v>
      </c>
      <c r="P92" s="177" t="n">
        <f aca="false">P$3*$E92</f>
        <v>6.01817670380455</v>
      </c>
      <c r="Q92" s="177" t="n">
        <f aca="false">Q$3*$E92</f>
        <v>6.45851560781445</v>
      </c>
      <c r="R92" s="177" t="n">
        <f aca="false">R$3*$E92</f>
        <v>7.01125186710873</v>
      </c>
      <c r="S92" s="177" t="n">
        <f aca="false">S$3*$E92</f>
        <v>7.634531625</v>
      </c>
      <c r="T92" s="177" t="n">
        <f aca="false">T$3*$E92</f>
        <v>8.25781138289127</v>
      </c>
      <c r="U92" s="177" t="n">
        <f aca="false">U$3*$E92</f>
        <v>8.81054764218555</v>
      </c>
      <c r="V92" s="177" t="n">
        <f aca="false">V$3*$E92</f>
        <v>9.25088654619545</v>
      </c>
      <c r="W92" s="177" t="n">
        <f aca="false">W$3*$E92</f>
        <v>9.57266984801982</v>
      </c>
      <c r="X92" s="177" t="n">
        <f aca="false">X$3*$E92</f>
        <v>9.79328105040858</v>
      </c>
      <c r="Y92" s="177" t="n">
        <f aca="false">Y$3*$E92</f>
        <v>9.93799261425509</v>
      </c>
      <c r="Z92" s="177" t="n">
        <f aca="false">Z$3*$E92</f>
        <v>10.0301853982196</v>
      </c>
      <c r="AA92" s="177" t="n">
        <f aca="false">AA$3*$E92</f>
        <v>10.087831307487</v>
      </c>
      <c r="AB92" s="177" t="n">
        <f aca="false">AB$3*$E92</f>
        <v>10.1234553926831</v>
      </c>
      <c r="AC92" s="177" t="n">
        <f aca="false">AC$3*$E92</f>
        <v>10.1453109786381</v>
      </c>
      <c r="AD92" s="219" t="n">
        <f aca="false">Algae_electricity_factor/H92</f>
        <v>0.002700282960095</v>
      </c>
      <c r="AE92" s="220" t="n">
        <f aca="false">Algae_electricity_factor/I92</f>
        <v>0.002700282960095</v>
      </c>
      <c r="AF92" s="220" t="n">
        <f aca="false">Algae_electricity_factor/J92</f>
        <v>0.002700282960095</v>
      </c>
      <c r="AG92" s="220" t="n">
        <f aca="false">Algae_electricity_factor/K92</f>
        <v>0.002700282960095</v>
      </c>
      <c r="AH92" s="220" t="n">
        <f aca="false">Algae_electricity_factor/L92</f>
        <v>0.002700282960095</v>
      </c>
      <c r="AI92" s="220" t="n">
        <f aca="false">Algae_electricity_factor/M92</f>
        <v>0.00257801819607833</v>
      </c>
      <c r="AJ92" s="220" t="n">
        <f aca="false">Algae_electricity_factor/N92</f>
        <v>0.00250988746494606</v>
      </c>
      <c r="AK92" s="220" t="n">
        <f aca="false">Algae_electricity_factor/O92</f>
        <v>0.00241268397978828</v>
      </c>
      <c r="AL92" s="220" t="n">
        <f aca="false">Algae_electricity_factor/P92</f>
        <v>0.00228368121774173</v>
      </c>
      <c r="AM92" s="220" t="n">
        <f aca="false">Algae_electricity_factor/Q92</f>
        <v>0.00212798078352559</v>
      </c>
      <c r="AN92" s="220" t="n">
        <f aca="false">Algae_electricity_factor/R92</f>
        <v>0.00196022013814728</v>
      </c>
      <c r="AO92" s="220" t="n">
        <f aca="false">Algae_electricity_factor/S92</f>
        <v>0.00180018864006333</v>
      </c>
      <c r="AP92" s="220" t="n">
        <f aca="false">Algae_electricity_factor/T92</f>
        <v>0.00166431472775021</v>
      </c>
      <c r="AQ92" s="220" t="n">
        <f aca="false">Algae_electricity_factor/U92</f>
        <v>0.00155990270544863</v>
      </c>
      <c r="AR92" s="220" t="n">
        <f aca="false">Algae_electricity_factor/V92</f>
        <v>0.00148565189237798</v>
      </c>
      <c r="AS92" s="220" t="n">
        <f aca="false">Algae_electricity_factor/W92</f>
        <v>0.00143571201365231</v>
      </c>
      <c r="AT92" s="220" t="n">
        <f aca="false">Algae_electricity_factor/X92</f>
        <v>0.00140337002816394</v>
      </c>
      <c r="AU92" s="220" t="n">
        <f aca="false">Algae_electricity_factor/Y92</f>
        <v>0.0013829349283089</v>
      </c>
      <c r="AV92" s="220" t="n">
        <f aca="false">Algae_electricity_factor/Z92</f>
        <v>0.00137022363574344</v>
      </c>
      <c r="AW92" s="220" t="n">
        <f aca="false">Algae_electricity_factor/AA92</f>
        <v>0.00136239362897841</v>
      </c>
      <c r="AX92" s="220" t="n">
        <f aca="false">Algae_electricity_factor/AB92</f>
        <v>0.00135759941348313</v>
      </c>
      <c r="AY92" s="220" t="n">
        <f aca="false">Algae_electricity_factor/AC92</f>
        <v>0.0013546747982854</v>
      </c>
      <c r="AZ92" s="221" t="n">
        <f aca="false">Algae_yield_cost_factor/H92</f>
        <v>0.149487091675952</v>
      </c>
      <c r="BA92" s="197" t="n">
        <f aca="false">Algae_yield_cost_factor/I92</f>
        <v>0.149487091675952</v>
      </c>
      <c r="BB92" s="197" t="n">
        <f aca="false">Algae_yield_cost_factor/J92</f>
        <v>0.149487091675952</v>
      </c>
      <c r="BC92" s="197" t="n">
        <f aca="false">Algae_yield_cost_factor/K92</f>
        <v>0.149487091675952</v>
      </c>
      <c r="BD92" s="197" t="n">
        <f aca="false">Algae_yield_cost_factor/L92</f>
        <v>0.149487091675952</v>
      </c>
      <c r="BE92" s="197" t="n">
        <f aca="false">Algae_yield_cost_factor/M92</f>
        <v>0.142718540284339</v>
      </c>
      <c r="BF92" s="197" t="n">
        <f aca="false">Algae_yield_cost_factor/N92</f>
        <v>0.138946837466068</v>
      </c>
      <c r="BG92" s="197" t="n">
        <f aca="false">Algae_yield_cost_factor/O92</f>
        <v>0.133565673154128</v>
      </c>
      <c r="BH92" s="197" t="n">
        <f aca="false">Algae_yield_cost_factor/P92</f>
        <v>0.126424107621372</v>
      </c>
      <c r="BI92" s="197" t="n">
        <f aca="false">Algae_yield_cost_factor/Q92</f>
        <v>0.117804564622502</v>
      </c>
      <c r="BJ92" s="197" t="n">
        <f aca="false">Algae_yield_cost_factor/R92</f>
        <v>0.108517370892849</v>
      </c>
      <c r="BK92" s="197" t="n">
        <f aca="false">Algae_yield_cost_factor/S92</f>
        <v>0.0996580611173011</v>
      </c>
      <c r="BL92" s="197" t="n">
        <f aca="false">Algae_yield_cost_factor/T92</f>
        <v>0.0921361101638322</v>
      </c>
      <c r="BM92" s="197" t="n">
        <f aca="false">Algae_yield_cost_factor/U92</f>
        <v>0.0863558827652492</v>
      </c>
      <c r="BN92" s="197" t="n">
        <f aca="false">Algae_yield_cost_factor/V92</f>
        <v>0.0822453735095394</v>
      </c>
      <c r="BO92" s="197" t="n">
        <f aca="false">Algae_yield_cost_factor/W92</f>
        <v>0.0794807124204334</v>
      </c>
      <c r="BP92" s="197" t="n">
        <f aca="false">Algae_yield_cost_factor/X92</f>
        <v>0.0776902669667052</v>
      </c>
      <c r="BQ92" s="197" t="n">
        <f aca="false">Algae_yield_cost_factor/Y92</f>
        <v>0.0765589841750197</v>
      </c>
      <c r="BR92" s="197" t="n">
        <f aca="false">Algae_yield_cost_factor/Z92</f>
        <v>0.0758552897159076</v>
      </c>
      <c r="BS92" s="197" t="n">
        <f aca="false">Algae_yield_cost_factor/AA92</f>
        <v>0.0754218222029083</v>
      </c>
      <c r="BT92" s="197" t="n">
        <f aca="false">Algae_yield_cost_factor/AB92</f>
        <v>0.0751564154504131</v>
      </c>
      <c r="BU92" s="197" t="n">
        <f aca="false">Algae_yield_cost_factor/AC92</f>
        <v>0.0749945093736647</v>
      </c>
    </row>
    <row r="93" customFormat="false" ht="15" hidden="false" customHeight="false" outlineLevel="0" collapsed="false">
      <c r="A93" s="18" t="s">
        <v>704</v>
      </c>
      <c r="B93" s="18" t="s">
        <v>22</v>
      </c>
      <c r="C93" s="18" t="s">
        <v>691</v>
      </c>
      <c r="D93" s="18" t="s">
        <v>691</v>
      </c>
      <c r="E93" s="28" t="n">
        <v>4.2128665</v>
      </c>
      <c r="F93" s="185" t="n">
        <f aca="false">E93/$B$2*$F$3/1000</f>
        <v>0.010321522925</v>
      </c>
      <c r="G93" s="18" t="n">
        <f aca="false">LOOKUP(RIGHT(D93,5),Ref!$C$4:$C$21,Ref!$E$4:$E$21)*$G$3</f>
        <v>2</v>
      </c>
      <c r="H93" s="218" t="n">
        <f aca="false">$E93</f>
        <v>4.2128665</v>
      </c>
      <c r="I93" s="177" t="n">
        <f aca="false">$E93</f>
        <v>4.2128665</v>
      </c>
      <c r="J93" s="177" t="n">
        <f aca="false">$E93</f>
        <v>4.2128665</v>
      </c>
      <c r="K93" s="177" t="n">
        <f aca="false">$E93</f>
        <v>4.2128665</v>
      </c>
      <c r="L93" s="177" t="n">
        <f aca="false">$E93</f>
        <v>4.2128665</v>
      </c>
      <c r="M93" s="177" t="n">
        <f aca="false">M$3*$E93</f>
        <v>4.41266537234302</v>
      </c>
      <c r="N93" s="177" t="n">
        <f aca="false">N$3*$E93</f>
        <v>4.53244688536247</v>
      </c>
      <c r="O93" s="177" t="n">
        <f aca="false">O$3*$E93</f>
        <v>4.71505249688909</v>
      </c>
      <c r="P93" s="177" t="n">
        <f aca="false">P$3*$E93</f>
        <v>4.98140087798875</v>
      </c>
      <c r="Q93" s="177" t="n">
        <f aca="false">Q$3*$E93</f>
        <v>5.34588080455204</v>
      </c>
      <c r="R93" s="177" t="n">
        <f aca="false">R$3*$E93</f>
        <v>5.8033949359673</v>
      </c>
      <c r="S93" s="177" t="n">
        <f aca="false">S$3*$E93</f>
        <v>6.31929975</v>
      </c>
      <c r="T93" s="177" t="n">
        <f aca="false">T$3*$E93</f>
        <v>6.8352045640327</v>
      </c>
      <c r="U93" s="177" t="n">
        <f aca="false">U$3*$E93</f>
        <v>7.29271869544796</v>
      </c>
      <c r="V93" s="177" t="n">
        <f aca="false">V$3*$E93</f>
        <v>7.65719862201125</v>
      </c>
      <c r="W93" s="177" t="n">
        <f aca="false">W$3*$E93</f>
        <v>7.92354700311091</v>
      </c>
      <c r="X93" s="177" t="n">
        <f aca="false">X$3*$E93</f>
        <v>8.10615261463753</v>
      </c>
      <c r="Y93" s="177" t="n">
        <f aca="false">Y$3*$E93</f>
        <v>8.22593412765698</v>
      </c>
      <c r="Z93" s="177" t="n">
        <f aca="false">Z$3*$E93</f>
        <v>8.30224448502734</v>
      </c>
      <c r="AA93" s="177" t="n">
        <f aca="false">AA$3*$E93</f>
        <v>8.34995949858874</v>
      </c>
      <c r="AB93" s="177" t="n">
        <f aca="false">AB$3*$E93</f>
        <v>8.37944647745415</v>
      </c>
      <c r="AC93" s="177" t="n">
        <f aca="false">AC$3*$E93</f>
        <v>8.39753691255159</v>
      </c>
      <c r="AD93" s="219" t="n">
        <f aca="false">Algae_electricity_factor/H93</f>
        <v>0.00326229115105576</v>
      </c>
      <c r="AE93" s="220" t="n">
        <f aca="false">Algae_electricity_factor/I93</f>
        <v>0.00326229115105576</v>
      </c>
      <c r="AF93" s="220" t="n">
        <f aca="false">Algae_electricity_factor/J93</f>
        <v>0.00326229115105576</v>
      </c>
      <c r="AG93" s="220" t="n">
        <f aca="false">Algae_electricity_factor/K93</f>
        <v>0.00326229115105576</v>
      </c>
      <c r="AH93" s="220" t="n">
        <f aca="false">Algae_electricity_factor/L93</f>
        <v>0.00326229115105576</v>
      </c>
      <c r="AI93" s="220" t="n">
        <f aca="false">Algae_electricity_factor/M93</f>
        <v>0.00311457949874675</v>
      </c>
      <c r="AJ93" s="220" t="n">
        <f aca="false">Algae_electricity_factor/N93</f>
        <v>0.003032268761475</v>
      </c>
      <c r="AK93" s="220" t="n">
        <f aca="false">Algae_electricity_factor/O93</f>
        <v>0.00291483437620197</v>
      </c>
      <c r="AL93" s="220" t="n">
        <f aca="false">Algae_electricity_factor/P93</f>
        <v>0.00275898235057891</v>
      </c>
      <c r="AM93" s="220" t="n">
        <f aca="false">Algae_electricity_factor/Q93</f>
        <v>0.00257087608310057</v>
      </c>
      <c r="AN93" s="220" t="n">
        <f aca="false">Algae_electricity_factor/R93</f>
        <v>0.00236819952031035</v>
      </c>
      <c r="AO93" s="220" t="n">
        <f aca="false">Algae_electricity_factor/S93</f>
        <v>0.00217486076737051</v>
      </c>
      <c r="AP93" s="220" t="n">
        <f aca="false">Algae_electricity_factor/T93</f>
        <v>0.0020107075033056</v>
      </c>
      <c r="AQ93" s="220" t="n">
        <f aca="false">Algae_electricity_factor/U93</f>
        <v>0.00188456427259533</v>
      </c>
      <c r="AR93" s="220" t="n">
        <f aca="false">Algae_electricity_factor/V93</f>
        <v>0.0017948596845878</v>
      </c>
      <c r="AS93" s="220" t="n">
        <f aca="false">Algae_electricity_factor/W93</f>
        <v>0.00173452585037147</v>
      </c>
      <c r="AT93" s="220" t="n">
        <f aca="false">Algae_electricity_factor/X93</f>
        <v>0.001695452547823</v>
      </c>
      <c r="AU93" s="220" t="n">
        <f aca="false">Algae_electricity_factor/Y93</f>
        <v>0.00167076430351186</v>
      </c>
      <c r="AV93" s="220" t="n">
        <f aca="false">Algae_electricity_factor/Z93</f>
        <v>0.00165540741763449</v>
      </c>
      <c r="AW93" s="220" t="n">
        <f aca="false">Algae_electricity_factor/AA93</f>
        <v>0.00164594775649536</v>
      </c>
      <c r="AX93" s="220" t="n">
        <f aca="false">Algae_electricity_factor/AB93</f>
        <v>0.00164015572395002</v>
      </c>
      <c r="AY93" s="220" t="n">
        <f aca="false">Algae_electricity_factor/AC93</f>
        <v>0.00163662241043407</v>
      </c>
      <c r="AZ93" s="221" t="n">
        <f aca="false">Algae_yield_cost_factor/H93</f>
        <v>0.18059974587047</v>
      </c>
      <c r="BA93" s="197" t="n">
        <f aca="false">Algae_yield_cost_factor/I93</f>
        <v>0.18059974587047</v>
      </c>
      <c r="BB93" s="197" t="n">
        <f aca="false">Algae_yield_cost_factor/J93</f>
        <v>0.18059974587047</v>
      </c>
      <c r="BC93" s="197" t="n">
        <f aca="false">Algae_yield_cost_factor/K93</f>
        <v>0.18059974587047</v>
      </c>
      <c r="BD93" s="197" t="n">
        <f aca="false">Algae_yield_cost_factor/L93</f>
        <v>0.18059974587047</v>
      </c>
      <c r="BE93" s="197" t="n">
        <f aca="false">Algae_yield_cost_factor/M93</f>
        <v>0.172422460142775</v>
      </c>
      <c r="BF93" s="197" t="n">
        <f aca="false">Algae_yield_cost_factor/N93</f>
        <v>0.167865755193593</v>
      </c>
      <c r="BG93" s="197" t="n">
        <f aca="false">Algae_yield_cost_factor/O93</f>
        <v>0.161364612544231</v>
      </c>
      <c r="BH93" s="197" t="n">
        <f aca="false">Algae_yield_cost_factor/P93</f>
        <v>0.152736677477242</v>
      </c>
      <c r="BI93" s="197" t="n">
        <f aca="false">Algae_yield_cost_factor/Q93</f>
        <v>0.142323154425433</v>
      </c>
      <c r="BJ93" s="197" t="n">
        <f aca="false">Algae_yield_cost_factor/R93</f>
        <v>0.131103022916947</v>
      </c>
      <c r="BK93" s="197" t="n">
        <f aca="false">Algae_yield_cost_factor/S93</f>
        <v>0.120399830580314</v>
      </c>
      <c r="BL93" s="197" t="n">
        <f aca="false">Algae_yield_cost_factor/T93</f>
        <v>0.111312340714691</v>
      </c>
      <c r="BM93" s="197" t="n">
        <f aca="false">Algae_yield_cost_factor/U93</f>
        <v>0.104329078229924</v>
      </c>
      <c r="BN93" s="197" t="n">
        <f aca="false">Algae_yield_cost_factor/V93</f>
        <v>0.0993630512729699</v>
      </c>
      <c r="BO93" s="197" t="n">
        <f aca="false">Algae_yield_cost_factor/W93</f>
        <v>0.0960229830134786</v>
      </c>
      <c r="BP93" s="197" t="n">
        <f aca="false">Algae_yield_cost_factor/X93</f>
        <v>0.0938598932756756</v>
      </c>
      <c r="BQ93" s="197" t="n">
        <f aca="false">Algae_yield_cost_factor/Y93</f>
        <v>0.0924931573094096</v>
      </c>
      <c r="BR93" s="197" t="n">
        <f aca="false">Algae_yield_cost_factor/Z93</f>
        <v>0.09164300336594</v>
      </c>
      <c r="BS93" s="197" t="n">
        <f aca="false">Algae_yield_cost_factor/AA93</f>
        <v>0.0911193185326002</v>
      </c>
      <c r="BT93" s="197" t="n">
        <f aca="false">Algae_yield_cost_factor/AB93</f>
        <v>0.0907986728399484</v>
      </c>
      <c r="BU93" s="197" t="n">
        <f aca="false">Algae_yield_cost_factor/AC93</f>
        <v>0.0906030693534679</v>
      </c>
    </row>
    <row r="94" customFormat="false" ht="15" hidden="false" customHeight="false" outlineLevel="0" collapsed="false">
      <c r="A94" s="18" t="s">
        <v>704</v>
      </c>
      <c r="B94" s="18" t="s">
        <v>22</v>
      </c>
      <c r="C94" s="18" t="s">
        <v>693</v>
      </c>
      <c r="D94" s="18" t="s">
        <v>693</v>
      </c>
      <c r="E94" s="28" t="n">
        <v>3.73827525</v>
      </c>
      <c r="F94" s="185" t="n">
        <f aca="false">E94/$B$2*$F$3/1000</f>
        <v>0.0091587743625</v>
      </c>
      <c r="G94" s="18" t="n">
        <f aca="false">LOOKUP(RIGHT(D94,5),Ref!$C$4:$C$21,Ref!$E$4:$E$21)*$G$3</f>
        <v>3</v>
      </c>
      <c r="H94" s="218" t="n">
        <f aca="false">$E94</f>
        <v>3.73827525</v>
      </c>
      <c r="I94" s="177" t="n">
        <f aca="false">$E94</f>
        <v>3.73827525</v>
      </c>
      <c r="J94" s="177" t="n">
        <f aca="false">$E94</f>
        <v>3.73827525</v>
      </c>
      <c r="K94" s="177" t="n">
        <f aca="false">$E94</f>
        <v>3.73827525</v>
      </c>
      <c r="L94" s="177" t="n">
        <f aca="false">$E94</f>
        <v>3.73827525</v>
      </c>
      <c r="M94" s="177" t="n">
        <f aca="false">M$3*$E94</f>
        <v>3.91556621790934</v>
      </c>
      <c r="N94" s="177" t="n">
        <f aca="false">N$3*$E94</f>
        <v>4.02185400688346</v>
      </c>
      <c r="O94" s="177" t="n">
        <f aca="false">O$3*$E94</f>
        <v>4.18388858312296</v>
      </c>
      <c r="P94" s="177" t="n">
        <f aca="false">P$3*$E94</f>
        <v>4.42023207061359</v>
      </c>
      <c r="Q94" s="177" t="n">
        <f aca="false">Q$3*$E94</f>
        <v>4.74365230920727</v>
      </c>
      <c r="R94" s="177" t="n">
        <f aca="false">R$3*$E94</f>
        <v>5.14962618803656</v>
      </c>
      <c r="S94" s="177" t="n">
        <f aca="false">S$3*$E94</f>
        <v>5.607412875</v>
      </c>
      <c r="T94" s="177" t="n">
        <f aca="false">T$3*$E94</f>
        <v>6.06519956196345</v>
      </c>
      <c r="U94" s="177" t="n">
        <f aca="false">U$3*$E94</f>
        <v>6.47117344079273</v>
      </c>
      <c r="V94" s="177" t="n">
        <f aca="false">V$3*$E94</f>
        <v>6.79459367938641</v>
      </c>
      <c r="W94" s="177" t="n">
        <f aca="false">W$3*$E94</f>
        <v>7.03093716687704</v>
      </c>
      <c r="X94" s="177" t="n">
        <f aca="false">X$3*$E94</f>
        <v>7.19297174311654</v>
      </c>
      <c r="Y94" s="177" t="n">
        <f aca="false">Y$3*$E94</f>
        <v>7.29925953209066</v>
      </c>
      <c r="Z94" s="177" t="n">
        <f aca="false">Z$3*$E94</f>
        <v>7.36697331325992</v>
      </c>
      <c r="AA94" s="177" t="n">
        <f aca="false">AA$3*$E94</f>
        <v>7.40931309645741</v>
      </c>
      <c r="AB94" s="177" t="n">
        <f aca="false">AB$3*$E94</f>
        <v>7.43547828429088</v>
      </c>
      <c r="AC94" s="177" t="n">
        <f aca="false">AC$3*$E94</f>
        <v>7.45153078103781</v>
      </c>
      <c r="AD94" s="219" t="n">
        <f aca="false">Algae_electricity_factor/H94</f>
        <v>0.00367645402877417</v>
      </c>
      <c r="AE94" s="220" t="n">
        <f aca="false">Algae_electricity_factor/I94</f>
        <v>0.00367645402877417</v>
      </c>
      <c r="AF94" s="220" t="n">
        <f aca="false">Algae_electricity_factor/J94</f>
        <v>0.00367645402877417</v>
      </c>
      <c r="AG94" s="220" t="n">
        <f aca="false">Algae_electricity_factor/K94</f>
        <v>0.00367645402877417</v>
      </c>
      <c r="AH94" s="220" t="n">
        <f aca="false">Algae_electricity_factor/L94</f>
        <v>0.00367645402877417</v>
      </c>
      <c r="AI94" s="220" t="n">
        <f aca="false">Algae_electricity_factor/M94</f>
        <v>0.0035099897022984</v>
      </c>
      <c r="AJ94" s="220" t="n">
        <f aca="false">Algae_electricity_factor/N94</f>
        <v>0.00341722923805959</v>
      </c>
      <c r="AK94" s="220" t="n">
        <f aca="false">Algae_electricity_factor/O94</f>
        <v>0.00328488601703411</v>
      </c>
      <c r="AL94" s="220" t="n">
        <f aca="false">Algae_electricity_factor/P94</f>
        <v>0.00310924785938252</v>
      </c>
      <c r="AM94" s="220" t="n">
        <f aca="false">Algae_electricity_factor/Q94</f>
        <v>0.00289726063540816</v>
      </c>
      <c r="AN94" s="220" t="n">
        <f aca="false">Algae_electricity_factor/R94</f>
        <v>0.00266885335006606</v>
      </c>
      <c r="AO94" s="220" t="n">
        <f aca="false">Algae_electricity_factor/S94</f>
        <v>0.00245096935251611</v>
      </c>
      <c r="AP94" s="220" t="n">
        <f aca="false">Algae_electricity_factor/T94</f>
        <v>0.00226597607599248</v>
      </c>
      <c r="AQ94" s="220" t="n">
        <f aca="false">Algae_electricity_factor/U94</f>
        <v>0.00212381838151531</v>
      </c>
      <c r="AR94" s="220" t="n">
        <f aca="false">Algae_electricity_factor/V94</f>
        <v>0.00202272538315645</v>
      </c>
      <c r="AS94" s="220" t="n">
        <f aca="false">Algae_electricity_factor/W94</f>
        <v>0.00195473189097405</v>
      </c>
      <c r="AT94" s="220" t="n">
        <f aca="false">Algae_electricity_factor/X94</f>
        <v>0.00191069805281544</v>
      </c>
      <c r="AU94" s="220" t="n">
        <f aca="false">Algae_electricity_factor/Y94</f>
        <v>0.00188287552225079</v>
      </c>
      <c r="AV94" s="220" t="n">
        <f aca="false">Algae_electricity_factor/Z94</f>
        <v>0.00186556900902464</v>
      </c>
      <c r="AW94" s="220" t="n">
        <f aca="false">Algae_electricity_factor/AA94</f>
        <v>0.00185490840036176</v>
      </c>
      <c r="AX94" s="220" t="n">
        <f aca="false">Algae_electricity_factor/AB94</f>
        <v>0.00184838104262448</v>
      </c>
      <c r="AY94" s="220" t="n">
        <f aca="false">Algae_electricity_factor/AC94</f>
        <v>0.00184439915869409</v>
      </c>
      <c r="AZ94" s="221" t="n">
        <f aca="false">Algae_yield_cost_factor/H94</f>
        <v>0.203527714896386</v>
      </c>
      <c r="BA94" s="197" t="n">
        <f aca="false">Algae_yield_cost_factor/I94</f>
        <v>0.203527714896386</v>
      </c>
      <c r="BB94" s="197" t="n">
        <f aca="false">Algae_yield_cost_factor/J94</f>
        <v>0.203527714896386</v>
      </c>
      <c r="BC94" s="197" t="n">
        <f aca="false">Algae_yield_cost_factor/K94</f>
        <v>0.203527714896386</v>
      </c>
      <c r="BD94" s="197" t="n">
        <f aca="false">Algae_yield_cost_factor/L94</f>
        <v>0.203527714896386</v>
      </c>
      <c r="BE94" s="197" t="n">
        <f aca="false">Algae_yield_cost_factor/M94</f>
        <v>0.194312285106101</v>
      </c>
      <c r="BF94" s="197" t="n">
        <f aca="false">Algae_yield_cost_factor/N94</f>
        <v>0.189177085489435</v>
      </c>
      <c r="BG94" s="197" t="n">
        <f aca="false">Algae_yield_cost_factor/O94</f>
        <v>0.181850592856444</v>
      </c>
      <c r="BH94" s="197" t="n">
        <f aca="false">Algae_yield_cost_factor/P94</f>
        <v>0.172127301718935</v>
      </c>
      <c r="BI94" s="197" t="n">
        <f aca="false">Algae_yield_cost_factor/Q94</f>
        <v>0.160391733983</v>
      </c>
      <c r="BJ94" s="197" t="n">
        <f aca="false">Algae_yield_cost_factor/R94</f>
        <v>0.147747155134053</v>
      </c>
      <c r="BK94" s="197" t="n">
        <f aca="false">Algae_yield_cost_factor/S94</f>
        <v>0.135685143264258</v>
      </c>
      <c r="BL94" s="197" t="n">
        <f aca="false">Algae_yield_cost_factor/T94</f>
        <v>0.125443954731131</v>
      </c>
      <c r="BM94" s="197" t="n">
        <f aca="false">Algae_yield_cost_factor/U94</f>
        <v>0.117574134930467</v>
      </c>
      <c r="BN94" s="197" t="n">
        <f aca="false">Algae_yield_cost_factor/V94</f>
        <v>0.111977647993062</v>
      </c>
      <c r="BO94" s="197" t="n">
        <f aca="false">Algae_yield_cost_factor/W94</f>
        <v>0.108213542693934</v>
      </c>
      <c r="BP94" s="197" t="n">
        <f aca="false">Algae_yield_cost_factor/X94</f>
        <v>0.105775838757371</v>
      </c>
      <c r="BQ94" s="197" t="n">
        <f aca="false">Algae_yield_cost_factor/Y94</f>
        <v>0.1042355893692</v>
      </c>
      <c r="BR94" s="197" t="n">
        <f aca="false">Algae_yield_cost_factor/Z94</f>
        <v>0.103277504469409</v>
      </c>
      <c r="BS94" s="197" t="n">
        <f aca="false">Algae_yield_cost_factor/AA94</f>
        <v>0.102687335435993</v>
      </c>
      <c r="BT94" s="197" t="n">
        <f aca="false">Algae_yield_cost_factor/AB94</f>
        <v>0.10232598229675</v>
      </c>
      <c r="BU94" s="197" t="n">
        <f aca="false">Algae_yield_cost_factor/AC94</f>
        <v>0.102105546047312</v>
      </c>
    </row>
    <row r="95" customFormat="false" ht="15" hidden="false" customHeight="false" outlineLevel="0" collapsed="false">
      <c r="A95" s="18" t="s">
        <v>704</v>
      </c>
      <c r="B95" s="18" t="s">
        <v>22</v>
      </c>
      <c r="C95" s="18" t="s">
        <v>694</v>
      </c>
      <c r="D95" s="18" t="s">
        <v>694</v>
      </c>
      <c r="E95" s="28" t="n">
        <v>6.459478</v>
      </c>
      <c r="F95" s="185" t="n">
        <f aca="false">E95/$B$2*$F$3/1000</f>
        <v>0.0158257211</v>
      </c>
      <c r="G95" s="18" t="n">
        <f aca="false">LOOKUP(RIGHT(D95,5),Ref!$C$4:$C$21,Ref!$E$4:$E$21)*$G$3</f>
        <v>3</v>
      </c>
      <c r="H95" s="218" t="n">
        <f aca="false">$E95</f>
        <v>6.459478</v>
      </c>
      <c r="I95" s="177" t="n">
        <f aca="false">$E95</f>
        <v>6.459478</v>
      </c>
      <c r="J95" s="177" t="n">
        <f aca="false">$E95</f>
        <v>6.459478</v>
      </c>
      <c r="K95" s="177" t="n">
        <f aca="false">$E95</f>
        <v>6.459478</v>
      </c>
      <c r="L95" s="177" t="n">
        <f aca="false">$E95</f>
        <v>6.459478</v>
      </c>
      <c r="M95" s="177" t="n">
        <f aca="false">M$3*$E95</f>
        <v>6.76582438442128</v>
      </c>
      <c r="N95" s="177" t="n">
        <f aca="false">N$3*$E95</f>
        <v>6.94948224496726</v>
      </c>
      <c r="O95" s="177" t="n">
        <f aca="false">O$3*$E95</f>
        <v>7.22946665233758</v>
      </c>
      <c r="P95" s="177" t="n">
        <f aca="false">P$3*$E95</f>
        <v>7.63785165766564</v>
      </c>
      <c r="Q95" s="177" t="n">
        <f aca="false">Q$3*$E95</f>
        <v>8.19669919462821</v>
      </c>
      <c r="R95" s="177" t="n">
        <f aca="false">R$3*$E95</f>
        <v>8.89819364420691</v>
      </c>
      <c r="S95" s="177" t="n">
        <f aca="false">S$3*$E95</f>
        <v>9.689217</v>
      </c>
      <c r="T95" s="177" t="n">
        <f aca="false">T$3*$E95</f>
        <v>10.4802403557931</v>
      </c>
      <c r="U95" s="177" t="n">
        <f aca="false">U$3*$E95</f>
        <v>11.1817348053718</v>
      </c>
      <c r="V95" s="177" t="n">
        <f aca="false">V$3*$E95</f>
        <v>11.7405823423344</v>
      </c>
      <c r="W95" s="177" t="n">
        <f aca="false">W$3*$E95</f>
        <v>12.1489673476624</v>
      </c>
      <c r="X95" s="177" t="n">
        <f aca="false">X$3*$E95</f>
        <v>12.4289517550327</v>
      </c>
      <c r="Y95" s="177" t="n">
        <f aca="false">Y$3*$E95</f>
        <v>12.6126096155787</v>
      </c>
      <c r="Z95" s="177" t="n">
        <f aca="false">Z$3*$E95</f>
        <v>12.7296142903307</v>
      </c>
      <c r="AA95" s="177" t="n">
        <f aca="false">AA$3*$E95</f>
        <v>12.8027744724465</v>
      </c>
      <c r="AB95" s="177" t="n">
        <f aca="false">AB$3*$E95</f>
        <v>12.8479860857904</v>
      </c>
      <c r="AC95" s="177" t="n">
        <f aca="false">AC$3*$E95</f>
        <v>12.8757236766973</v>
      </c>
      <c r="AD95" s="219" t="n">
        <f aca="false">Algae_electricity_factor/H95</f>
        <v>0.00212766373746133</v>
      </c>
      <c r="AE95" s="220" t="n">
        <f aca="false">Algae_electricity_factor/I95</f>
        <v>0.00212766373746133</v>
      </c>
      <c r="AF95" s="220" t="n">
        <f aca="false">Algae_electricity_factor/J95</f>
        <v>0.00212766373746133</v>
      </c>
      <c r="AG95" s="220" t="n">
        <f aca="false">Algae_electricity_factor/K95</f>
        <v>0.00212766373746133</v>
      </c>
      <c r="AH95" s="220" t="n">
        <f aca="false">Algae_electricity_factor/L95</f>
        <v>0.00212766373746133</v>
      </c>
      <c r="AI95" s="220" t="n">
        <f aca="false">Algae_electricity_factor/M95</f>
        <v>0.0020313263133425</v>
      </c>
      <c r="AJ95" s="220" t="n">
        <f aca="false">Algae_electricity_factor/N95</f>
        <v>0.00197764331486453</v>
      </c>
      <c r="AK95" s="220" t="n">
        <f aca="false">Algae_electricity_factor/O95</f>
        <v>0.00190105270062839</v>
      </c>
      <c r="AL95" s="220" t="n">
        <f aca="false">Algae_electricity_factor/P95</f>
        <v>0.00179940613140027</v>
      </c>
      <c r="AM95" s="220" t="n">
        <f aca="false">Algae_electricity_factor/Q95</f>
        <v>0.00167672337085839</v>
      </c>
      <c r="AN95" s="220" t="n">
        <f aca="false">Algae_electricity_factor/R95</f>
        <v>0.00154453787510872</v>
      </c>
      <c r="AO95" s="220" t="n">
        <f aca="false">Algae_electricity_factor/S95</f>
        <v>0.00141844249164089</v>
      </c>
      <c r="AP95" s="220" t="n">
        <f aca="false">Algae_electricity_factor/T95</f>
        <v>0.00131138186119294</v>
      </c>
      <c r="AQ95" s="220" t="n">
        <f aca="false">Algae_electricity_factor/U95</f>
        <v>0.00122911134477333</v>
      </c>
      <c r="AR95" s="220" t="n">
        <f aca="false">Algae_electricity_factor/V95</f>
        <v>0.00117060608262781</v>
      </c>
      <c r="AS95" s="220" t="n">
        <f aca="false">Algae_electricity_factor/W95</f>
        <v>0.00113125640313567</v>
      </c>
      <c r="AT95" s="220" t="n">
        <f aca="false">Algae_electricity_factor/X95</f>
        <v>0.00110577282577062</v>
      </c>
      <c r="AU95" s="220" t="n">
        <f aca="false">Algae_electricity_factor/Y95</f>
        <v>0.00108967117213821</v>
      </c>
      <c r="AV95" s="220" t="n">
        <f aca="false">Algae_electricity_factor/Z95</f>
        <v>0.00107965542317875</v>
      </c>
      <c r="AW95" s="220" t="n">
        <f aca="false">Algae_electricity_factor/AA95</f>
        <v>0.00107348583958169</v>
      </c>
      <c r="AX95" s="220" t="n">
        <f aca="false">Algae_electricity_factor/AB95</f>
        <v>0.00106970828048525</v>
      </c>
      <c r="AY95" s="220" t="n">
        <f aca="false">Algae_electricity_factor/AC95</f>
        <v>0.00106740385617335</v>
      </c>
      <c r="AZ95" s="221" t="n">
        <f aca="false">Algae_yield_cost_factor/H95</f>
        <v>0.117787013019662</v>
      </c>
      <c r="BA95" s="197" t="n">
        <f aca="false">Algae_yield_cost_factor/I95</f>
        <v>0.117787013019662</v>
      </c>
      <c r="BB95" s="197" t="n">
        <f aca="false">Algae_yield_cost_factor/J95</f>
        <v>0.117787013019662</v>
      </c>
      <c r="BC95" s="197" t="n">
        <f aca="false">Algae_yield_cost_factor/K95</f>
        <v>0.117787013019662</v>
      </c>
      <c r="BD95" s="197" t="n">
        <f aca="false">Algae_yield_cost_factor/L95</f>
        <v>0.117787013019662</v>
      </c>
      <c r="BE95" s="197" t="n">
        <f aca="false">Algae_yield_cost_factor/M95</f>
        <v>0.112453793663061</v>
      </c>
      <c r="BF95" s="197" t="n">
        <f aca="false">Algae_yield_cost_factor/N95</f>
        <v>0.109481914258751</v>
      </c>
      <c r="BG95" s="197" t="n">
        <f aca="false">Algae_yield_cost_factor/O95</f>
        <v>0.105241874107021</v>
      </c>
      <c r="BH95" s="197" t="n">
        <f aca="false">Algae_yield_cost_factor/P95</f>
        <v>0.0996147416037607</v>
      </c>
      <c r="BI95" s="197" t="n">
        <f aca="false">Algae_yield_cost_factor/Q95</f>
        <v>0.0928230500132106</v>
      </c>
      <c r="BJ95" s="197" t="n">
        <f aca="false">Algae_yield_cost_factor/R95</f>
        <v>0.0855052890180197</v>
      </c>
      <c r="BK95" s="197" t="n">
        <f aca="false">Algae_yield_cost_factor/S95</f>
        <v>0.0785246753464411</v>
      </c>
      <c r="BL95" s="197" t="n">
        <f aca="false">Algae_yield_cost_factor/T95</f>
        <v>0.0725978215629045</v>
      </c>
      <c r="BM95" s="197" t="n">
        <f aca="false">Algae_yield_cost_factor/U95</f>
        <v>0.0680433432315622</v>
      </c>
      <c r="BN95" s="197" t="n">
        <f aca="false">Algae_yield_cost_factor/V95</f>
        <v>0.0648045043338915</v>
      </c>
      <c r="BO95" s="197" t="n">
        <f aca="false">Algae_yield_cost_factor/W95</f>
        <v>0.0626261144271337</v>
      </c>
      <c r="BP95" s="197" t="n">
        <f aca="false">Algae_yield_cost_factor/X95</f>
        <v>0.0612153489917713</v>
      </c>
      <c r="BQ95" s="197" t="n">
        <f aca="false">Algae_yield_cost_factor/Y95</f>
        <v>0.0603239648634211</v>
      </c>
      <c r="BR95" s="197" t="n">
        <f aca="false">Algae_yield_cost_factor/Z95</f>
        <v>0.0597694951263486</v>
      </c>
      <c r="BS95" s="197" t="n">
        <f aca="false">Algae_yield_cost_factor/AA95</f>
        <v>0.0594279482875893</v>
      </c>
      <c r="BT95" s="197" t="n">
        <f aca="false">Algae_yield_cost_factor/AB95</f>
        <v>0.059218823417601</v>
      </c>
      <c r="BU95" s="197" t="n">
        <f aca="false">Algae_yield_cost_factor/AC95</f>
        <v>0.059091250976689</v>
      </c>
    </row>
    <row r="96" customFormat="false" ht="15" hidden="false" customHeight="false" outlineLevel="0" collapsed="false">
      <c r="A96" s="18" t="s">
        <v>704</v>
      </c>
      <c r="B96" s="18" t="s">
        <v>22</v>
      </c>
      <c r="C96" s="18" t="s">
        <v>682</v>
      </c>
      <c r="D96" s="18" t="s">
        <v>682</v>
      </c>
      <c r="E96" s="28" t="n">
        <v>6.64008</v>
      </c>
      <c r="F96" s="185" t="n">
        <f aca="false">E96/$B$2*$F$3/1000</f>
        <v>0.016268196</v>
      </c>
      <c r="G96" s="18" t="n">
        <f aca="false">LOOKUP(RIGHT(D96,5),Ref!$C$4:$C$21,Ref!$E$4:$E$21)*$G$3</f>
        <v>3</v>
      </c>
      <c r="H96" s="218" t="n">
        <f aca="false">$E96</f>
        <v>6.64008</v>
      </c>
      <c r="I96" s="177" t="n">
        <f aca="false">$E96</f>
        <v>6.64008</v>
      </c>
      <c r="J96" s="177" t="n">
        <f aca="false">$E96</f>
        <v>6.64008</v>
      </c>
      <c r="K96" s="177" t="n">
        <f aca="false">$E96</f>
        <v>6.64008</v>
      </c>
      <c r="L96" s="177" t="n">
        <f aca="false">$E96</f>
        <v>6.64008</v>
      </c>
      <c r="M96" s="177" t="n">
        <f aca="false">M$3*$E96</f>
        <v>6.9549915919689</v>
      </c>
      <c r="N96" s="177" t="n">
        <f aca="false">N$3*$E96</f>
        <v>7.14378438399546</v>
      </c>
      <c r="O96" s="177" t="n">
        <f aca="false">O$3*$E96</f>
        <v>7.43159693846062</v>
      </c>
      <c r="P96" s="177" t="n">
        <f aca="false">P$3*$E96</f>
        <v>7.85140007211611</v>
      </c>
      <c r="Q96" s="177" t="n">
        <f aca="false">Q$3*$E96</f>
        <v>8.42587255321048</v>
      </c>
      <c r="R96" s="177" t="n">
        <f aca="false">R$3*$E96</f>
        <v>9.14698024407319</v>
      </c>
      <c r="S96" s="177" t="n">
        <f aca="false">S$3*$E96</f>
        <v>9.96012</v>
      </c>
      <c r="T96" s="177" t="n">
        <f aca="false">T$3*$E96</f>
        <v>10.7732597559268</v>
      </c>
      <c r="U96" s="177" t="n">
        <f aca="false">U$3*$E96</f>
        <v>11.4943674467895</v>
      </c>
      <c r="V96" s="177" t="n">
        <f aca="false">V$3*$E96</f>
        <v>12.0688399278839</v>
      </c>
      <c r="W96" s="177" t="n">
        <f aca="false">W$3*$E96</f>
        <v>12.4886430615394</v>
      </c>
      <c r="X96" s="177" t="n">
        <f aca="false">X$3*$E96</f>
        <v>12.7764556160045</v>
      </c>
      <c r="Y96" s="177" t="n">
        <f aca="false">Y$3*$E96</f>
        <v>12.9652484080311</v>
      </c>
      <c r="Z96" s="177" t="n">
        <f aca="false">Z$3*$E96</f>
        <v>13.0855244428325</v>
      </c>
      <c r="AA96" s="177" t="n">
        <f aca="false">AA$3*$E96</f>
        <v>13.1607301269549</v>
      </c>
      <c r="AB96" s="177" t="n">
        <f aca="false">AB$3*$E96</f>
        <v>13.2072058219775</v>
      </c>
      <c r="AC96" s="177" t="n">
        <f aca="false">AC$3*$E96</f>
        <v>13.2357189344347</v>
      </c>
      <c r="AD96" s="219" t="n">
        <f aca="false">Algae_electricity_factor/H96</f>
        <v>0.00206979390361701</v>
      </c>
      <c r="AE96" s="220" t="n">
        <f aca="false">Algae_electricity_factor/I96</f>
        <v>0.00206979390361701</v>
      </c>
      <c r="AF96" s="220" t="n">
        <f aca="false">Algae_electricity_factor/J96</f>
        <v>0.00206979390361701</v>
      </c>
      <c r="AG96" s="220" t="n">
        <f aca="false">Algae_electricity_factor/K96</f>
        <v>0.00206979390361701</v>
      </c>
      <c r="AH96" s="220" t="n">
        <f aca="false">Algae_electricity_factor/L96</f>
        <v>0.00206979390361701</v>
      </c>
      <c r="AI96" s="220" t="n">
        <f aca="false">Algae_electricity_factor/M96</f>
        <v>0.00197607673881293</v>
      </c>
      <c r="AJ96" s="220" t="n">
        <f aca="false">Algae_electricity_factor/N96</f>
        <v>0.00192385385179313</v>
      </c>
      <c r="AK96" s="220" t="n">
        <f aca="false">Algae_electricity_factor/O96</f>
        <v>0.00184934640795739</v>
      </c>
      <c r="AL96" s="220" t="n">
        <f aca="false">Algae_electricity_factor/P96</f>
        <v>0.00175046450025378</v>
      </c>
      <c r="AM96" s="220" t="n">
        <f aca="false">Algae_electricity_factor/Q96</f>
        <v>0.00163111855973808</v>
      </c>
      <c r="AN96" s="220" t="n">
        <f aca="false">Algae_electricity_factor/R96</f>
        <v>0.00150252834671141</v>
      </c>
      <c r="AO96" s="220" t="n">
        <f aca="false">Algae_electricity_factor/S96</f>
        <v>0.00137986260241134</v>
      </c>
      <c r="AP96" s="220" t="n">
        <f aca="false">Algae_electricity_factor/T96</f>
        <v>0.0012757138892867</v>
      </c>
      <c r="AQ96" s="220" t="n">
        <f aca="false">Algae_electricity_factor/U96</f>
        <v>0.00119568102961316</v>
      </c>
      <c r="AR96" s="220" t="n">
        <f aca="false">Algae_electricity_factor/V96</f>
        <v>0.00113876703855985</v>
      </c>
      <c r="AS96" s="220" t="n">
        <f aca="false">Algae_electricity_factor/W96</f>
        <v>0.00110048762189823</v>
      </c>
      <c r="AT96" s="220" t="n">
        <f aca="false">Algae_electricity_factor/X96</f>
        <v>0.00107569716645931</v>
      </c>
      <c r="AU96" s="220" t="n">
        <f aca="false">Algae_electricity_factor/Y96</f>
        <v>0.00106003345797957</v>
      </c>
      <c r="AV96" s="220" t="n">
        <f aca="false">Algae_electricity_factor/Z96</f>
        <v>0.00105029012505931</v>
      </c>
      <c r="AW96" s="220" t="n">
        <f aca="false">Algae_electricity_factor/AA96</f>
        <v>0.00104428834653942</v>
      </c>
      <c r="AX96" s="220" t="n">
        <f aca="false">Algae_electricity_factor/AB96</f>
        <v>0.00104061353239905</v>
      </c>
      <c r="AY96" s="220" t="n">
        <f aca="false">Algae_electricity_factor/AC96</f>
        <v>0.00103837178559098</v>
      </c>
      <c r="AZ96" s="221" t="n">
        <f aca="false">Algae_yield_cost_factor/H96</f>
        <v>0.114583351297909</v>
      </c>
      <c r="BA96" s="197" t="n">
        <f aca="false">Algae_yield_cost_factor/I96</f>
        <v>0.114583351297909</v>
      </c>
      <c r="BB96" s="197" t="n">
        <f aca="false">Algae_yield_cost_factor/J96</f>
        <v>0.114583351297909</v>
      </c>
      <c r="BC96" s="197" t="n">
        <f aca="false">Algae_yield_cost_factor/K96</f>
        <v>0.114583351297909</v>
      </c>
      <c r="BD96" s="197" t="n">
        <f aca="false">Algae_yield_cost_factor/L96</f>
        <v>0.114583351297909</v>
      </c>
      <c r="BE96" s="197" t="n">
        <f aca="false">Algae_yield_cost_factor/M96</f>
        <v>0.109395188940959</v>
      </c>
      <c r="BF96" s="197" t="n">
        <f aca="false">Algae_yield_cost_factor/N96</f>
        <v>0.10650414099714</v>
      </c>
      <c r="BG96" s="197" t="n">
        <f aca="false">Algae_yield_cost_factor/O96</f>
        <v>0.102379424716731</v>
      </c>
      <c r="BH96" s="197" t="n">
        <f aca="false">Algae_yield_cost_factor/P96</f>
        <v>0.0969053432888124</v>
      </c>
      <c r="BI96" s="197" t="n">
        <f aca="false">Algae_yield_cost_factor/Q96</f>
        <v>0.0902983773468442</v>
      </c>
      <c r="BJ96" s="197" t="n">
        <f aca="false">Algae_yield_cost_factor/R96</f>
        <v>0.0831796504402869</v>
      </c>
      <c r="BK96" s="197" t="n">
        <f aca="false">Algae_yield_cost_factor/S96</f>
        <v>0.0763889008652725</v>
      </c>
      <c r="BL96" s="197" t="n">
        <f aca="false">Algae_yield_cost_factor/T96</f>
        <v>0.070623250206851</v>
      </c>
      <c r="BM96" s="197" t="n">
        <f aca="false">Algae_yield_cost_factor/U96</f>
        <v>0.0661926480781444</v>
      </c>
      <c r="BN96" s="197" t="n">
        <f aca="false">Algae_yield_cost_factor/V96</f>
        <v>0.0630419016104741</v>
      </c>
      <c r="BO96" s="197" t="n">
        <f aca="false">Algae_yield_cost_factor/W96</f>
        <v>0.0609227612269058</v>
      </c>
      <c r="BP96" s="197" t="n">
        <f aca="false">Algae_yield_cost_factor/X96</f>
        <v>0.059550366874295</v>
      </c>
      <c r="BQ96" s="197" t="n">
        <f aca="false">Algae_yield_cost_factor/Y96</f>
        <v>0.0586832272966654</v>
      </c>
      <c r="BR96" s="197" t="n">
        <f aca="false">Algae_yield_cost_factor/Z96</f>
        <v>0.0581438384537168</v>
      </c>
      <c r="BS96" s="197" t="n">
        <f aca="false">Algae_yield_cost_factor/AA96</f>
        <v>0.0578115812684215</v>
      </c>
      <c r="BT96" s="197" t="n">
        <f aca="false">Algae_yield_cost_factor/AB96</f>
        <v>0.0576081443373993</v>
      </c>
      <c r="BU96" s="197" t="n">
        <f aca="false">Algae_yield_cost_factor/AC96</f>
        <v>0.0574840417097989</v>
      </c>
    </row>
    <row r="97" customFormat="false" ht="15" hidden="false" customHeight="false" outlineLevel="0" collapsed="false">
      <c r="A97" s="18" t="s">
        <v>704</v>
      </c>
      <c r="B97" s="18" t="s">
        <v>22</v>
      </c>
      <c r="C97" s="18" t="s">
        <v>687</v>
      </c>
      <c r="D97" s="18" t="s">
        <v>687</v>
      </c>
      <c r="E97" s="28" t="n">
        <v>6.9013105</v>
      </c>
      <c r="F97" s="185" t="n">
        <f aca="false">E97/$B$2*$F$3/1000</f>
        <v>0.016908210725</v>
      </c>
      <c r="G97" s="18" t="n">
        <f aca="false">LOOKUP(RIGHT(D97,5),Ref!$C$4:$C$21,Ref!$E$4:$E$21)*$G$3</f>
        <v>4.5</v>
      </c>
      <c r="H97" s="218" t="n">
        <f aca="false">$E97</f>
        <v>6.9013105</v>
      </c>
      <c r="I97" s="177" t="n">
        <f aca="false">$E97</f>
        <v>6.9013105</v>
      </c>
      <c r="J97" s="177" t="n">
        <f aca="false">$E97</f>
        <v>6.9013105</v>
      </c>
      <c r="K97" s="177" t="n">
        <f aca="false">$E97</f>
        <v>6.9013105</v>
      </c>
      <c r="L97" s="177" t="n">
        <f aca="false">$E97</f>
        <v>6.9013105</v>
      </c>
      <c r="M97" s="177" t="n">
        <f aca="false">M$3*$E97</f>
        <v>7.22861117653201</v>
      </c>
      <c r="N97" s="177" t="n">
        <f aca="false">N$3*$E97</f>
        <v>7.4248313542915</v>
      </c>
      <c r="O97" s="177" t="n">
        <f aca="false">O$3*$E97</f>
        <v>7.72396687738192</v>
      </c>
      <c r="P97" s="177" t="n">
        <f aca="false">P$3*$E97</f>
        <v>8.16028568291281</v>
      </c>
      <c r="Q97" s="177" t="n">
        <f aca="false">Q$3*$E97</f>
        <v>8.75735875518567</v>
      </c>
      <c r="R97" s="177" t="n">
        <f aca="false">R$3*$E97</f>
        <v>9.50683588175366</v>
      </c>
      <c r="S97" s="177" t="n">
        <f aca="false">S$3*$E97</f>
        <v>10.35196575</v>
      </c>
      <c r="T97" s="177" t="n">
        <f aca="false">T$3*$E97</f>
        <v>11.1970956182463</v>
      </c>
      <c r="U97" s="177" t="n">
        <f aca="false">U$3*$E97</f>
        <v>11.9465727448143</v>
      </c>
      <c r="V97" s="177" t="n">
        <f aca="false">V$3*$E97</f>
        <v>12.5436458170872</v>
      </c>
      <c r="W97" s="177" t="n">
        <f aca="false">W$3*$E97</f>
        <v>12.9799646226181</v>
      </c>
      <c r="X97" s="177" t="n">
        <f aca="false">X$3*$E97</f>
        <v>13.2791001457085</v>
      </c>
      <c r="Y97" s="177" t="n">
        <f aca="false">Y$3*$E97</f>
        <v>13.475320323468</v>
      </c>
      <c r="Z97" s="177" t="n">
        <f aca="false">Z$3*$E97</f>
        <v>13.6003281941372</v>
      </c>
      <c r="AA97" s="177" t="n">
        <f aca="false">AA$3*$E97</f>
        <v>13.6784925803334</v>
      </c>
      <c r="AB97" s="177" t="n">
        <f aca="false">AB$3*$E97</f>
        <v>13.7267966974606</v>
      </c>
      <c r="AC97" s="177" t="n">
        <f aca="false">AC$3*$E97</f>
        <v>13.7564315576413</v>
      </c>
      <c r="AD97" s="219" t="n">
        <f aca="false">Algae_electricity_factor/H97</f>
        <v>0.00199144743647301</v>
      </c>
      <c r="AE97" s="220" t="n">
        <f aca="false">Algae_electricity_factor/I97</f>
        <v>0.00199144743647301</v>
      </c>
      <c r="AF97" s="220" t="n">
        <f aca="false">Algae_electricity_factor/J97</f>
        <v>0.00199144743647301</v>
      </c>
      <c r="AG97" s="220" t="n">
        <f aca="false">Algae_electricity_factor/K97</f>
        <v>0.00199144743647301</v>
      </c>
      <c r="AH97" s="220" t="n">
        <f aca="false">Algae_electricity_factor/L97</f>
        <v>0.00199144743647301</v>
      </c>
      <c r="AI97" s="220" t="n">
        <f aca="false">Algae_electricity_factor/M97</f>
        <v>0.00190127768223977</v>
      </c>
      <c r="AJ97" s="220" t="n">
        <f aca="false">Algae_electricity_factor/N97</f>
        <v>0.00185103155179216</v>
      </c>
      <c r="AK97" s="220" t="n">
        <f aca="false">Algae_electricity_factor/O97</f>
        <v>0.00177934438633788</v>
      </c>
      <c r="AL97" s="220" t="n">
        <f aca="false">Algae_electricity_factor/P97</f>
        <v>0.00168420538662116</v>
      </c>
      <c r="AM97" s="220" t="n">
        <f aca="false">Algae_electricity_factor/Q97</f>
        <v>0.00156937696487437</v>
      </c>
      <c r="AN97" s="220" t="n">
        <f aca="false">Algae_electricity_factor/R97</f>
        <v>0.00144565418762589</v>
      </c>
      <c r="AO97" s="220" t="n">
        <f aca="false">Algae_electricity_factor/S97</f>
        <v>0.00132763162431534</v>
      </c>
      <c r="AP97" s="220" t="n">
        <f aca="false">Algae_electricity_factor/T97</f>
        <v>0.00122742517989515</v>
      </c>
      <c r="AQ97" s="220" t="n">
        <f aca="false">Algae_electricity_factor/U97</f>
        <v>0.00115042174832066</v>
      </c>
      <c r="AR97" s="220" t="n">
        <f aca="false">Algae_electricity_factor/V97</f>
        <v>0.00109566208293345</v>
      </c>
      <c r="AS97" s="220" t="n">
        <f aca="false">Algae_electricity_factor/W97</f>
        <v>0.00105883163037136</v>
      </c>
      <c r="AT97" s="220" t="n">
        <f aca="false">Algae_electricity_factor/X97</f>
        <v>0.00103497955077708</v>
      </c>
      <c r="AU97" s="220" t="n">
        <f aca="false">Algae_electricity_factor/Y97</f>
        <v>0.00101990874974557</v>
      </c>
      <c r="AV97" s="220" t="n">
        <f aca="false">Algae_electricity_factor/Z97</f>
        <v>0.00101053422442069</v>
      </c>
      <c r="AW97" s="220" t="n">
        <f aca="false">Algae_electricity_factor/AA97</f>
        <v>0.00100475962704322</v>
      </c>
      <c r="AX97" s="220" t="n">
        <f aca="false">Algae_electricity_factor/AB97</f>
        <v>0.00100122391308322</v>
      </c>
      <c r="AY97" s="220" t="n">
        <f aca="false">Algae_electricity_factor/AC97</f>
        <v>0.000999067021555826</v>
      </c>
      <c r="AZ97" s="221" t="n">
        <f aca="false">Algae_yield_cost_factor/H97</f>
        <v>0.110246107501788</v>
      </c>
      <c r="BA97" s="197" t="n">
        <f aca="false">Algae_yield_cost_factor/I97</f>
        <v>0.110246107501788</v>
      </c>
      <c r="BB97" s="197" t="n">
        <f aca="false">Algae_yield_cost_factor/J97</f>
        <v>0.110246107501788</v>
      </c>
      <c r="BC97" s="197" t="n">
        <f aca="false">Algae_yield_cost_factor/K97</f>
        <v>0.110246107501788</v>
      </c>
      <c r="BD97" s="197" t="n">
        <f aca="false">Algae_yield_cost_factor/L97</f>
        <v>0.110246107501788</v>
      </c>
      <c r="BE97" s="197" t="n">
        <f aca="false">Algae_yield_cost_factor/M97</f>
        <v>0.105254329041286</v>
      </c>
      <c r="BF97" s="197" t="n">
        <f aca="false">Algae_yield_cost_factor/N97</f>
        <v>0.10247271392184</v>
      </c>
      <c r="BG97" s="197" t="n">
        <f aca="false">Algae_yield_cost_factor/O97</f>
        <v>0.098504127654171</v>
      </c>
      <c r="BH97" s="197" t="n">
        <f aca="false">Algae_yield_cost_factor/P97</f>
        <v>0.093237252818168</v>
      </c>
      <c r="BI97" s="197" t="n">
        <f aca="false">Algae_yield_cost_factor/Q97</f>
        <v>0.0868803757566383</v>
      </c>
      <c r="BJ97" s="197" t="n">
        <f aca="false">Algae_yield_cost_factor/R97</f>
        <v>0.0800311090619006</v>
      </c>
      <c r="BK97" s="197" t="n">
        <f aca="false">Algae_yield_cost_factor/S97</f>
        <v>0.0734974050011919</v>
      </c>
      <c r="BL97" s="197" t="n">
        <f aca="false">Algae_yield_cost_factor/T97</f>
        <v>0.0679499975017074</v>
      </c>
      <c r="BM97" s="197" t="n">
        <f aca="false">Algae_yield_cost_factor/U97</f>
        <v>0.0636871038697252</v>
      </c>
      <c r="BN97" s="197" t="n">
        <f aca="false">Algae_yield_cost_factor/V97</f>
        <v>0.0606556204137862</v>
      </c>
      <c r="BO97" s="197" t="n">
        <f aca="false">Algae_yield_cost_factor/W97</f>
        <v>0.0586166943753006</v>
      </c>
      <c r="BP97" s="197" t="n">
        <f aca="false">Algae_yield_cost_factor/X97</f>
        <v>0.0572962483103273</v>
      </c>
      <c r="BQ97" s="197" t="n">
        <f aca="false">Algae_yield_cost_factor/Y97</f>
        <v>0.0564619319632179</v>
      </c>
      <c r="BR97" s="197" t="n">
        <f aca="false">Algae_yield_cost_factor/Z97</f>
        <v>0.055942960230489</v>
      </c>
      <c r="BS97" s="197" t="n">
        <f aca="false">Algae_yield_cost_factor/AA97</f>
        <v>0.0556232797450311</v>
      </c>
      <c r="BT97" s="197" t="n">
        <f aca="false">Algae_yield_cost_factor/AB97</f>
        <v>0.055427543370477</v>
      </c>
      <c r="BU97" s="197" t="n">
        <f aca="false">Algae_yield_cost_factor/AC97</f>
        <v>0.055308138313209</v>
      </c>
    </row>
    <row r="98" customFormat="false" ht="15" hidden="false" customHeight="false" outlineLevel="0" collapsed="false">
      <c r="A98" s="18" t="s">
        <v>704</v>
      </c>
      <c r="B98" s="18" t="s">
        <v>22</v>
      </c>
      <c r="C98" s="18" t="s">
        <v>688</v>
      </c>
      <c r="D98" s="18" t="s">
        <v>688</v>
      </c>
      <c r="E98" s="28" t="n">
        <v>6.91967</v>
      </c>
      <c r="F98" s="185" t="n">
        <f aca="false">E98/$B$2*$F$3/1000</f>
        <v>0.0169531915</v>
      </c>
      <c r="G98" s="18" t="n">
        <f aca="false">LOOKUP(RIGHT(D98,5),Ref!$C$4:$C$21,Ref!$E$4:$E$21)*$G$3</f>
        <v>4.5</v>
      </c>
      <c r="H98" s="218" t="n">
        <f aca="false">$E98</f>
        <v>6.91967</v>
      </c>
      <c r="I98" s="177" t="n">
        <f aca="false">$E98</f>
        <v>6.91967</v>
      </c>
      <c r="J98" s="177" t="n">
        <f aca="false">$E98</f>
        <v>6.91967</v>
      </c>
      <c r="K98" s="177" t="n">
        <f aca="false">$E98</f>
        <v>6.91967</v>
      </c>
      <c r="L98" s="177" t="n">
        <f aca="false">$E98</f>
        <v>6.91967</v>
      </c>
      <c r="M98" s="177" t="n">
        <f aca="false">M$3*$E98</f>
        <v>7.24784139185061</v>
      </c>
      <c r="N98" s="177" t="n">
        <f aca="false">N$3*$E98</f>
        <v>7.4445835725476</v>
      </c>
      <c r="O98" s="177" t="n">
        <f aca="false">O$3*$E98</f>
        <v>7.74451488342879</v>
      </c>
      <c r="P98" s="177" t="n">
        <f aca="false">P$3*$E98</f>
        <v>8.18199442431713</v>
      </c>
      <c r="Q98" s="177" t="n">
        <f aca="false">Q$3*$E98</f>
        <v>8.78065588521132</v>
      </c>
      <c r="R98" s="177" t="n">
        <f aca="false">R$3*$E98</f>
        <v>9.53212683966246</v>
      </c>
      <c r="S98" s="177" t="n">
        <f aca="false">S$3*$E98</f>
        <v>10.379505</v>
      </c>
      <c r="T98" s="177" t="n">
        <f aca="false">T$3*$E98</f>
        <v>11.2268831603375</v>
      </c>
      <c r="U98" s="177" t="n">
        <f aca="false">U$3*$E98</f>
        <v>11.9783541147887</v>
      </c>
      <c r="V98" s="177" t="n">
        <f aca="false">V$3*$E98</f>
        <v>12.5770155756829</v>
      </c>
      <c r="W98" s="177" t="n">
        <f aca="false">W$3*$E98</f>
        <v>13.0144951165712</v>
      </c>
      <c r="X98" s="177" t="n">
        <f aca="false">X$3*$E98</f>
        <v>13.3144264274524</v>
      </c>
      <c r="Y98" s="177" t="n">
        <f aca="false">Y$3*$E98</f>
        <v>13.5111686081494</v>
      </c>
      <c r="Z98" s="177" t="n">
        <f aca="false">Z$3*$E98</f>
        <v>13.6365090362368</v>
      </c>
      <c r="AA98" s="177" t="n">
        <f aca="false">AA$3*$E98</f>
        <v>13.7148813625116</v>
      </c>
      <c r="AB98" s="177" t="n">
        <f aca="false">AB$3*$E98</f>
        <v>13.7633139826874</v>
      </c>
      <c r="AC98" s="177" t="n">
        <f aca="false">AC$3*$E98</f>
        <v>13.7930276802448</v>
      </c>
      <c r="AD98" s="219" t="n">
        <f aca="false">Algae_electricity_factor/H98</f>
        <v>0.00198616366149387</v>
      </c>
      <c r="AE98" s="220" t="n">
        <f aca="false">Algae_electricity_factor/I98</f>
        <v>0.00198616366149387</v>
      </c>
      <c r="AF98" s="220" t="n">
        <f aca="false">Algae_electricity_factor/J98</f>
        <v>0.00198616366149387</v>
      </c>
      <c r="AG98" s="220" t="n">
        <f aca="false">Algae_electricity_factor/K98</f>
        <v>0.00198616366149387</v>
      </c>
      <c r="AH98" s="220" t="n">
        <f aca="false">Algae_electricity_factor/L98</f>
        <v>0.00198616366149387</v>
      </c>
      <c r="AI98" s="220" t="n">
        <f aca="false">Algae_electricity_factor/M98</f>
        <v>0.00189623314866995</v>
      </c>
      <c r="AJ98" s="220" t="n">
        <f aca="false">Algae_electricity_factor/N98</f>
        <v>0.00184612033293705</v>
      </c>
      <c r="AK98" s="220" t="n">
        <f aca="false">Algae_electricity_factor/O98</f>
        <v>0.00177462337026906</v>
      </c>
      <c r="AL98" s="220" t="n">
        <f aca="false">Algae_electricity_factor/P98</f>
        <v>0.00167973679653006</v>
      </c>
      <c r="AM98" s="220" t="n">
        <f aca="false">Algae_electricity_factor/Q98</f>
        <v>0.0015652130413944</v>
      </c>
      <c r="AN98" s="220" t="n">
        <f aca="false">Algae_electricity_factor/R98</f>
        <v>0.00144181852955871</v>
      </c>
      <c r="AO98" s="220" t="n">
        <f aca="false">Algae_electricity_factor/S98</f>
        <v>0.00132410910766258</v>
      </c>
      <c r="AP98" s="220" t="n">
        <f aca="false">Algae_electricity_factor/T98</f>
        <v>0.00122416853433398</v>
      </c>
      <c r="AQ98" s="220" t="n">
        <f aca="false">Algae_electricity_factor/U98</f>
        <v>0.00114736941084094</v>
      </c>
      <c r="AR98" s="220" t="n">
        <f aca="false">Algae_electricity_factor/V98</f>
        <v>0.00109275503563039</v>
      </c>
      <c r="AS98" s="220" t="n">
        <f aca="false">Algae_electricity_factor/W98</f>
        <v>0.0010560223028575</v>
      </c>
      <c r="AT98" s="220" t="n">
        <f aca="false">Algae_electricity_factor/X98</f>
        <v>0.00103223350839898</v>
      </c>
      <c r="AU98" s="220" t="n">
        <f aca="false">Algae_electricity_factor/Y98</f>
        <v>0.00101720269372108</v>
      </c>
      <c r="AV98" s="220" t="n">
        <f aca="false">Algae_electricity_factor/Z98</f>
        <v>0.0010078530412005</v>
      </c>
      <c r="AW98" s="220" t="n">
        <f aca="false">Algae_electricity_factor/AA98</f>
        <v>0.00100209376517803</v>
      </c>
      <c r="AX98" s="220" t="n">
        <f aca="false">Algae_electricity_factor/AB98</f>
        <v>0.000998567432292622</v>
      </c>
      <c r="AY98" s="220" t="n">
        <f aca="false">Algae_electricity_factor/AC98</f>
        <v>0.000996416263502009</v>
      </c>
      <c r="AZ98" s="221" t="n">
        <f aca="false">Algae_yield_cost_factor/H98</f>
        <v>0.10995359884015</v>
      </c>
      <c r="BA98" s="197" t="n">
        <f aca="false">Algae_yield_cost_factor/I98</f>
        <v>0.10995359884015</v>
      </c>
      <c r="BB98" s="197" t="n">
        <f aca="false">Algae_yield_cost_factor/J98</f>
        <v>0.10995359884015</v>
      </c>
      <c r="BC98" s="197" t="n">
        <f aca="false">Algae_yield_cost_factor/K98</f>
        <v>0.10995359884015</v>
      </c>
      <c r="BD98" s="197" t="n">
        <f aca="false">Algae_yield_cost_factor/L98</f>
        <v>0.10995359884015</v>
      </c>
      <c r="BE98" s="197" t="n">
        <f aca="false">Algae_yield_cost_factor/M98</f>
        <v>0.104975064733301</v>
      </c>
      <c r="BF98" s="197" t="n">
        <f aca="false">Algae_yield_cost_factor/N98</f>
        <v>0.102200829888172</v>
      </c>
      <c r="BG98" s="197" t="n">
        <f aca="false">Algae_yield_cost_factor/O98</f>
        <v>0.0982427732063915</v>
      </c>
      <c r="BH98" s="197" t="n">
        <f aca="false">Algae_yield_cost_factor/P98</f>
        <v>0.0929898726189511</v>
      </c>
      <c r="BI98" s="197" t="n">
        <f aca="false">Algae_yield_cost_factor/Q98</f>
        <v>0.0866498618363641</v>
      </c>
      <c r="BJ98" s="197" t="n">
        <f aca="false">Algae_yield_cost_factor/R98</f>
        <v>0.0798187678452209</v>
      </c>
      <c r="BK98" s="197" t="n">
        <f aca="false">Algae_yield_cost_factor/S98</f>
        <v>0.0733023992267664</v>
      </c>
      <c r="BL98" s="197" t="n">
        <f aca="false">Algae_yield_cost_factor/T98</f>
        <v>0.0677697102944949</v>
      </c>
      <c r="BM98" s="197" t="n">
        <f aca="false">Algae_yield_cost_factor/U98</f>
        <v>0.0635181271145481</v>
      </c>
      <c r="BN98" s="197" t="n">
        <f aca="false">Algae_yield_cost_factor/V98</f>
        <v>0.0604946868919583</v>
      </c>
      <c r="BO98" s="197" t="n">
        <f aca="false">Algae_yield_cost_factor/W98</f>
        <v>0.0584611706002675</v>
      </c>
      <c r="BP98" s="197" t="n">
        <f aca="false">Algae_yield_cost_factor/X98</f>
        <v>0.0571442279869805</v>
      </c>
      <c r="BQ98" s="197" t="n">
        <f aca="false">Algae_yield_cost_factor/Y98</f>
        <v>0.0563121252759224</v>
      </c>
      <c r="BR98" s="197" t="n">
        <f aca="false">Algae_yield_cost_factor/Z98</f>
        <v>0.0557945304963612</v>
      </c>
      <c r="BS98" s="197" t="n">
        <f aca="false">Algae_yield_cost_factor/AA98</f>
        <v>0.055475698197865</v>
      </c>
      <c r="BT98" s="197" t="n">
        <f aca="false">Algae_yield_cost_factor/AB98</f>
        <v>0.0552804811576099</v>
      </c>
      <c r="BU98" s="197" t="n">
        <f aca="false">Algae_yield_cost_factor/AC98</f>
        <v>0.0551613929098355</v>
      </c>
    </row>
    <row r="99" customFormat="false" ht="15" hidden="false" customHeight="false" outlineLevel="0" collapsed="false">
      <c r="A99" s="18" t="s">
        <v>705</v>
      </c>
      <c r="B99" s="18" t="s">
        <v>22</v>
      </c>
      <c r="C99" s="18" t="s">
        <v>686</v>
      </c>
      <c r="D99" s="18" t="s">
        <v>686</v>
      </c>
      <c r="E99" s="28" t="n">
        <v>4.770185</v>
      </c>
      <c r="F99" s="185" t="n">
        <f aca="false">E99/$B$2*$F$3/1000</f>
        <v>0.01168695325</v>
      </c>
      <c r="G99" s="18" t="n">
        <f aca="false">LOOKUP(RIGHT(D99,5),Ref!$C$4:$C$21,Ref!$E$4:$E$21)*$G$3</f>
        <v>4.5</v>
      </c>
      <c r="H99" s="218" t="n">
        <f aca="false">$E99</f>
        <v>4.770185</v>
      </c>
      <c r="I99" s="177" t="n">
        <f aca="false">$E99</f>
        <v>4.770185</v>
      </c>
      <c r="J99" s="177" t="n">
        <f aca="false">$E99</f>
        <v>4.770185</v>
      </c>
      <c r="K99" s="177" t="n">
        <f aca="false">$E99</f>
        <v>4.770185</v>
      </c>
      <c r="L99" s="177" t="n">
        <f aca="false">$E99</f>
        <v>4.770185</v>
      </c>
      <c r="M99" s="177" t="n">
        <f aca="false">M$3*$E99</f>
        <v>4.99641518884353</v>
      </c>
      <c r="N99" s="177" t="n">
        <f aca="false">N$3*$E99</f>
        <v>5.13204255246464</v>
      </c>
      <c r="O99" s="177" t="n">
        <f aca="false">O$3*$E99</f>
        <v>5.33880499058607</v>
      </c>
      <c r="P99" s="177" t="n">
        <f aca="false">P$3*$E99</f>
        <v>5.64038849727822</v>
      </c>
      <c r="Q99" s="177" t="n">
        <f aca="false">Q$3*$E99</f>
        <v>6.05308533409783</v>
      </c>
      <c r="R99" s="177" t="n">
        <f aca="false">R$3*$E99</f>
        <v>6.57112383519088</v>
      </c>
      <c r="S99" s="177" t="n">
        <f aca="false">S$3*$E99</f>
        <v>7.1552775</v>
      </c>
      <c r="T99" s="177" t="n">
        <f aca="false">T$3*$E99</f>
        <v>7.73943116480912</v>
      </c>
      <c r="U99" s="177" t="n">
        <f aca="false">U$3*$E99</f>
        <v>8.25746966590217</v>
      </c>
      <c r="V99" s="177" t="n">
        <f aca="false">V$3*$E99</f>
        <v>8.67016650272178</v>
      </c>
      <c r="W99" s="177" t="n">
        <f aca="false">W$3*$E99</f>
        <v>8.97175000941392</v>
      </c>
      <c r="X99" s="177" t="n">
        <f aca="false">X$3*$E99</f>
        <v>9.17851244753537</v>
      </c>
      <c r="Y99" s="177" t="n">
        <f aca="false">Y$3*$E99</f>
        <v>9.31413981115647</v>
      </c>
      <c r="Z99" s="177" t="n">
        <f aca="false">Z$3*$E99</f>
        <v>9.40054523655334</v>
      </c>
      <c r="AA99" s="177" t="n">
        <f aca="false">AA$3*$E99</f>
        <v>9.45457245103198</v>
      </c>
      <c r="AB99" s="177" t="n">
        <f aca="false">AB$3*$E99</f>
        <v>9.48796025106768</v>
      </c>
      <c r="AC99" s="177" t="n">
        <f aca="false">AC$3*$E99</f>
        <v>9.50844386291374</v>
      </c>
      <c r="AD99" s="219" t="n">
        <f aca="false">Algae_electricity_factor/H99</f>
        <v>0.00288114551186783</v>
      </c>
      <c r="AE99" s="220" t="n">
        <f aca="false">Algae_electricity_factor/I99</f>
        <v>0.00288114551186783</v>
      </c>
      <c r="AF99" s="220" t="n">
        <f aca="false">Algae_electricity_factor/J99</f>
        <v>0.00288114551186783</v>
      </c>
      <c r="AG99" s="220" t="n">
        <f aca="false">Algae_electricity_factor/K99</f>
        <v>0.00288114551186783</v>
      </c>
      <c r="AH99" s="220" t="n">
        <f aca="false">Algae_electricity_factor/L99</f>
        <v>0.00288114551186783</v>
      </c>
      <c r="AI99" s="220" t="n">
        <f aca="false">Algae_electricity_factor/M99</f>
        <v>0.00275069156266622</v>
      </c>
      <c r="AJ99" s="220" t="n">
        <f aca="false">Algae_electricity_factor/N99</f>
        <v>0.00267799749573958</v>
      </c>
      <c r="AK99" s="220" t="n">
        <f aca="false">Algae_electricity_factor/O99</f>
        <v>0.00257428340757218</v>
      </c>
      <c r="AL99" s="220" t="n">
        <f aca="false">Algae_electricity_factor/P99</f>
        <v>0.00243664015522357</v>
      </c>
      <c r="AM99" s="220" t="n">
        <f aca="false">Algae_electricity_factor/Q99</f>
        <v>0.00227051104436109</v>
      </c>
      <c r="AN99" s="220" t="n">
        <f aca="false">Algae_electricity_factor/R99</f>
        <v>0.00209151394011585</v>
      </c>
      <c r="AO99" s="220" t="n">
        <f aca="false">Algae_electricity_factor/S99</f>
        <v>0.00192076367457856</v>
      </c>
      <c r="AP99" s="220" t="n">
        <f aca="false">Algae_electricity_factor/T99</f>
        <v>0.00177578904842785</v>
      </c>
      <c r="AQ99" s="220" t="n">
        <f aca="false">Algae_electricity_factor/U99</f>
        <v>0.00166438360170805</v>
      </c>
      <c r="AR99" s="220" t="n">
        <f aca="false">Algae_electricity_factor/V99</f>
        <v>0.00158515953519633</v>
      </c>
      <c r="AS99" s="220" t="n">
        <f aca="false">Algae_electricity_factor/W99</f>
        <v>0.00153187472779651</v>
      </c>
      <c r="AT99" s="220" t="n">
        <f aca="false">Algae_electricity_factor/X99</f>
        <v>0.00149736650487626</v>
      </c>
      <c r="AU99" s="220" t="n">
        <f aca="false">Algae_electricity_factor/Y99</f>
        <v>0.00147556268020233</v>
      </c>
      <c r="AV99" s="220" t="n">
        <f aca="false">Algae_electricity_factor/Z99</f>
        <v>0.00146199999656278</v>
      </c>
      <c r="AW99" s="220" t="n">
        <f aca="false">Algae_electricity_factor/AA99</f>
        <v>0.0014536455429065</v>
      </c>
      <c r="AX99" s="220" t="n">
        <f aca="false">Algae_electricity_factor/AB99</f>
        <v>0.00144853021512002</v>
      </c>
      <c r="AY99" s="220" t="n">
        <f aca="false">Algae_electricity_factor/AC99</f>
        <v>0.0014454097117967</v>
      </c>
      <c r="AZ99" s="221" t="n">
        <f aca="false">Algae_yield_cost_factor/H99</f>
        <v>0.159499604163406</v>
      </c>
      <c r="BA99" s="197" t="n">
        <f aca="false">Algae_yield_cost_factor/I99</f>
        <v>0.159499604163406</v>
      </c>
      <c r="BB99" s="197" t="n">
        <f aca="false">Algae_yield_cost_factor/J99</f>
        <v>0.159499604163406</v>
      </c>
      <c r="BC99" s="197" t="n">
        <f aca="false">Algae_yield_cost_factor/K99</f>
        <v>0.159499604163406</v>
      </c>
      <c r="BD99" s="197" t="n">
        <f aca="false">Algae_yield_cost_factor/L99</f>
        <v>0.159499604163406</v>
      </c>
      <c r="BE99" s="197" t="n">
        <f aca="false">Algae_yield_cost_factor/M99</f>
        <v>0.152277701217685</v>
      </c>
      <c r="BF99" s="197" t="n">
        <f aca="false">Algae_yield_cost_factor/N99</f>
        <v>0.148253373098169</v>
      </c>
      <c r="BG99" s="197" t="n">
        <f aca="false">Algae_yield_cost_factor/O99</f>
        <v>0.142511783185153</v>
      </c>
      <c r="BH99" s="197" t="n">
        <f aca="false">Algae_yield_cost_factor/P99</f>
        <v>0.134891881942771</v>
      </c>
      <c r="BI99" s="197" t="n">
        <f aca="false">Algae_yield_cost_factor/Q99</f>
        <v>0.125695009617705</v>
      </c>
      <c r="BJ99" s="197" t="n">
        <f aca="false">Algae_yield_cost_factor/R99</f>
        <v>0.115785767909534</v>
      </c>
      <c r="BK99" s="197" t="n">
        <f aca="false">Algae_yield_cost_factor/S99</f>
        <v>0.106333069442271</v>
      </c>
      <c r="BL99" s="197" t="n">
        <f aca="false">Algae_yield_cost_factor/T99</f>
        <v>0.0983073049019079</v>
      </c>
      <c r="BM99" s="197" t="n">
        <f aca="false">Algae_yield_cost_factor/U99</f>
        <v>0.0921399230115236</v>
      </c>
      <c r="BN99" s="197" t="n">
        <f aca="false">Algae_yield_cost_factor/V99</f>
        <v>0.0877540955006309</v>
      </c>
      <c r="BO99" s="197" t="n">
        <f aca="false">Algae_yield_cost_factor/W99</f>
        <v>0.0848042598699113</v>
      </c>
      <c r="BP99" s="197" t="n">
        <f aca="false">Algae_yield_cost_factor/X99</f>
        <v>0.0828938919716256</v>
      </c>
      <c r="BQ99" s="197" t="n">
        <f aca="false">Algae_yield_cost_factor/Y99</f>
        <v>0.0816868368644071</v>
      </c>
      <c r="BR99" s="197" t="n">
        <f aca="false">Algae_yield_cost_factor/Z99</f>
        <v>0.0809360095760974</v>
      </c>
      <c r="BS99" s="197" t="n">
        <f aca="false">Algae_yield_cost_factor/AA99</f>
        <v>0.080473508794485</v>
      </c>
      <c r="BT99" s="197" t="n">
        <f aca="false">Algae_yield_cost_factor/AB99</f>
        <v>0.080190325333688</v>
      </c>
      <c r="BU99" s="197" t="n">
        <f aca="false">Algae_yield_cost_factor/AC99</f>
        <v>0.080017574931874</v>
      </c>
    </row>
    <row r="100" customFormat="false" ht="15" hidden="false" customHeight="false" outlineLevel="0" collapsed="false">
      <c r="A100" s="18" t="s">
        <v>706</v>
      </c>
      <c r="B100" s="18" t="s">
        <v>22</v>
      </c>
      <c r="C100" s="18" t="s">
        <v>684</v>
      </c>
      <c r="D100" s="18" t="s">
        <v>684</v>
      </c>
      <c r="E100" s="28" t="n">
        <v>5.918986</v>
      </c>
      <c r="F100" s="185" t="n">
        <f aca="false">E100/$B$2*$F$3/1000</f>
        <v>0.0145015157</v>
      </c>
      <c r="G100" s="18" t="n">
        <f aca="false">LOOKUP(RIGHT(D100,5),Ref!$C$4:$C$21,Ref!$E$4:$E$21)*$G$3</f>
        <v>3.5</v>
      </c>
      <c r="H100" s="218" t="n">
        <f aca="false">$E100</f>
        <v>5.918986</v>
      </c>
      <c r="I100" s="177" t="n">
        <f aca="false">$E100</f>
        <v>5.918986</v>
      </c>
      <c r="J100" s="177" t="n">
        <f aca="false">$E100</f>
        <v>5.918986</v>
      </c>
      <c r="K100" s="177" t="n">
        <f aca="false">$E100</f>
        <v>5.918986</v>
      </c>
      <c r="L100" s="177" t="n">
        <f aca="false">$E100</f>
        <v>5.918986</v>
      </c>
      <c r="M100" s="177" t="n">
        <f aca="false">M$3*$E100</f>
        <v>6.19969907937579</v>
      </c>
      <c r="N100" s="177" t="n">
        <f aca="false">N$3*$E100</f>
        <v>6.36798950553122</v>
      </c>
      <c r="O100" s="177" t="n">
        <f aca="false">O$3*$E100</f>
        <v>6.62454642660801</v>
      </c>
      <c r="P100" s="177" t="n">
        <f aca="false">P$3*$E100</f>
        <v>6.99876012145249</v>
      </c>
      <c r="Q100" s="177" t="n">
        <f aca="false">Q$3*$E100</f>
        <v>7.5108465079091</v>
      </c>
      <c r="R100" s="177" t="n">
        <f aca="false">R$3*$E100</f>
        <v>8.15364393304686</v>
      </c>
      <c r="S100" s="177" t="n">
        <f aca="false">S$3*$E100</f>
        <v>8.878479</v>
      </c>
      <c r="T100" s="177" t="n">
        <f aca="false">T$3*$E100</f>
        <v>9.60331406695314</v>
      </c>
      <c r="U100" s="177" t="n">
        <f aca="false">U$3*$E100</f>
        <v>10.2461114920909</v>
      </c>
      <c r="V100" s="177" t="n">
        <f aca="false">V$3*$E100</f>
        <v>10.7581978785475</v>
      </c>
      <c r="W100" s="177" t="n">
        <f aca="false">W$3*$E100</f>
        <v>11.132411573392</v>
      </c>
      <c r="X100" s="177" t="n">
        <f aca="false">X$3*$E100</f>
        <v>11.3889684944688</v>
      </c>
      <c r="Y100" s="177" t="n">
        <f aca="false">Y$3*$E100</f>
        <v>11.5572589206242</v>
      </c>
      <c r="Z100" s="177" t="n">
        <f aca="false">Z$3*$E100</f>
        <v>11.664473316554</v>
      </c>
      <c r="AA100" s="177" t="n">
        <f aca="false">AA$3*$E100</f>
        <v>11.7315118750413</v>
      </c>
      <c r="AB100" s="177" t="n">
        <f aca="false">AB$3*$E100</f>
        <v>11.7729404403867</v>
      </c>
      <c r="AC100" s="177" t="n">
        <f aca="false">AC$3*$E100</f>
        <v>11.7983571090791</v>
      </c>
      <c r="AD100" s="219" t="n">
        <f aca="false">Algae_electricity_factor/H100</f>
        <v>0.0023219512773859</v>
      </c>
      <c r="AE100" s="220" t="n">
        <f aca="false">Algae_electricity_factor/I100</f>
        <v>0.0023219512773859</v>
      </c>
      <c r="AF100" s="220" t="n">
        <f aca="false">Algae_electricity_factor/J100</f>
        <v>0.0023219512773859</v>
      </c>
      <c r="AG100" s="220" t="n">
        <f aca="false">Algae_electricity_factor/K100</f>
        <v>0.0023219512773859</v>
      </c>
      <c r="AH100" s="220" t="n">
        <f aca="false">Algae_electricity_factor/L100</f>
        <v>0.0023219512773859</v>
      </c>
      <c r="AI100" s="220" t="n">
        <f aca="false">Algae_electricity_factor/M100</f>
        <v>0.00221681680474611</v>
      </c>
      <c r="AJ100" s="220" t="n">
        <f aca="false">Algae_electricity_factor/N100</f>
        <v>0.00215823174513582</v>
      </c>
      <c r="AK100" s="220" t="n">
        <f aca="false">Algae_electricity_factor/O100</f>
        <v>0.00207464726163395</v>
      </c>
      <c r="AL100" s="220" t="n">
        <f aca="false">Algae_electricity_factor/P100</f>
        <v>0.00196371883948453</v>
      </c>
      <c r="AM100" s="220" t="n">
        <f aca="false">Algae_electricity_factor/Q100</f>
        <v>0.00182983330694575</v>
      </c>
      <c r="AN100" s="220" t="n">
        <f aca="false">Algae_electricity_factor/R100</f>
        <v>0.00168557729726536</v>
      </c>
      <c r="AO100" s="220" t="n">
        <f aca="false">Algae_electricity_factor/S100</f>
        <v>0.00154796751825727</v>
      </c>
      <c r="AP100" s="220" t="n">
        <f aca="false">Algae_electricity_factor/T100</f>
        <v>0.00143113065007669</v>
      </c>
      <c r="AQ100" s="220" t="n">
        <f aca="false">Algae_electricity_factor/U100</f>
        <v>0.00134134760432171</v>
      </c>
      <c r="AR100" s="220" t="n">
        <f aca="false">Algae_electricity_factor/V100</f>
        <v>0.00127749993620538</v>
      </c>
      <c r="AS100" s="220" t="n">
        <f aca="false">Algae_electricity_factor/W100</f>
        <v>0.00123455704210383</v>
      </c>
      <c r="AT100" s="220" t="n">
        <f aca="false">Algae_electricity_factor/X100</f>
        <v>0.00120674643276114</v>
      </c>
      <c r="AU100" s="220" t="n">
        <f aca="false">Algae_electricity_factor/Y100</f>
        <v>0.00118917445718928</v>
      </c>
      <c r="AV100" s="220" t="n">
        <f aca="false">Algae_electricity_factor/Z100</f>
        <v>0.00117824412046317</v>
      </c>
      <c r="AW100" s="220" t="n">
        <f aca="false">Algae_electricity_factor/AA100</f>
        <v>0.00117151116155528</v>
      </c>
      <c r="AX100" s="220" t="n">
        <f aca="false">Algae_electricity_factor/AB100</f>
        <v>0.0011673886547818</v>
      </c>
      <c r="AY100" s="220" t="n">
        <f aca="false">Algae_electricity_factor/AC100</f>
        <v>0.00116487380204429</v>
      </c>
      <c r="AZ100" s="221" t="n">
        <f aca="false">Algae_yield_cost_factor/H100</f>
        <v>0.128542730002439</v>
      </c>
      <c r="BA100" s="197" t="n">
        <f aca="false">Algae_yield_cost_factor/I100</f>
        <v>0.128542730002439</v>
      </c>
      <c r="BB100" s="197" t="n">
        <f aca="false">Algae_yield_cost_factor/J100</f>
        <v>0.128542730002439</v>
      </c>
      <c r="BC100" s="197" t="n">
        <f aca="false">Algae_yield_cost_factor/K100</f>
        <v>0.128542730002439</v>
      </c>
      <c r="BD100" s="197" t="n">
        <f aca="false">Algae_yield_cost_factor/L100</f>
        <v>0.128542730002439</v>
      </c>
      <c r="BE100" s="197" t="n">
        <f aca="false">Algae_yield_cost_factor/M100</f>
        <v>0.122722507906436</v>
      </c>
      <c r="BF100" s="197" t="n">
        <f aca="false">Algae_yield_cost_factor/N100</f>
        <v>0.119479251438048</v>
      </c>
      <c r="BG100" s="197" t="n">
        <f aca="false">Algae_yield_cost_factor/O100</f>
        <v>0.114852032167853</v>
      </c>
      <c r="BH100" s="197" t="n">
        <f aca="false">Algae_yield_cost_factor/P100</f>
        <v>0.108711058256461</v>
      </c>
      <c r="BI100" s="197" t="n">
        <f aca="false">Algae_yield_cost_factor/Q100</f>
        <v>0.10129918358537</v>
      </c>
      <c r="BJ100" s="197" t="n">
        <f aca="false">Algae_yield_cost_factor/R100</f>
        <v>0.0933132015003144</v>
      </c>
      <c r="BK100" s="197" t="n">
        <f aca="false">Algae_yield_cost_factor/S100</f>
        <v>0.0856951533349595</v>
      </c>
      <c r="BL100" s="197" t="n">
        <f aca="false">Algae_yield_cost_factor/T100</f>
        <v>0.0792270891050439</v>
      </c>
      <c r="BM100" s="197" t="n">
        <f aca="false">Algae_yield_cost_factor/U100</f>
        <v>0.0742567187438397</v>
      </c>
      <c r="BN100" s="197" t="n">
        <f aca="false">Algae_yield_cost_factor/V100</f>
        <v>0.0707221253852733</v>
      </c>
      <c r="BO100" s="197" t="n">
        <f aca="false">Algae_yield_cost_factor/W100</f>
        <v>0.0683448158802121</v>
      </c>
      <c r="BP100" s="197" t="n">
        <f aca="false">Algae_yield_cost_factor/X100</f>
        <v>0.0668052264483594</v>
      </c>
      <c r="BQ100" s="197" t="n">
        <f aca="false">Algae_yield_cost_factor/Y100</f>
        <v>0.0658324456094408</v>
      </c>
      <c r="BR100" s="197" t="n">
        <f aca="false">Algae_yield_cost_factor/Z100</f>
        <v>0.0652273444876802</v>
      </c>
      <c r="BS100" s="197" t="n">
        <f aca="false">Algae_yield_cost_factor/AA100</f>
        <v>0.0648546093112605</v>
      </c>
      <c r="BT100" s="197" t="n">
        <f aca="false">Algae_yield_cost_factor/AB100</f>
        <v>0.0646263882110683</v>
      </c>
      <c r="BU100" s="197" t="n">
        <f aca="false">Algae_yield_cost_factor/AC100</f>
        <v>0.0644871664971671</v>
      </c>
    </row>
    <row r="101" customFormat="false" ht="15" hidden="false" customHeight="false" outlineLevel="0" collapsed="false">
      <c r="A101" s="18" t="s">
        <v>706</v>
      </c>
      <c r="B101" s="18" t="s">
        <v>22</v>
      </c>
      <c r="C101" s="18" t="s">
        <v>685</v>
      </c>
      <c r="D101" s="18" t="s">
        <v>685</v>
      </c>
      <c r="E101" s="28" t="n">
        <v>5.73832925</v>
      </c>
      <c r="F101" s="185" t="n">
        <f aca="false">E101/$B$2*$F$3/1000</f>
        <v>0.0140589066625</v>
      </c>
      <c r="G101" s="18" t="n">
        <f aca="false">LOOKUP(RIGHT(D101,5),Ref!$C$4:$C$21,Ref!$E$4:$E$21)*$G$3</f>
        <v>4</v>
      </c>
      <c r="H101" s="218" t="n">
        <f aca="false">$E101</f>
        <v>5.73832925</v>
      </c>
      <c r="I101" s="177" t="n">
        <f aca="false">$E101</f>
        <v>5.73832925</v>
      </c>
      <c r="J101" s="177" t="n">
        <f aca="false">$E101</f>
        <v>5.73832925</v>
      </c>
      <c r="K101" s="177" t="n">
        <f aca="false">$E101</f>
        <v>5.73832925</v>
      </c>
      <c r="L101" s="177" t="n">
        <f aca="false">$E101</f>
        <v>5.73832925</v>
      </c>
      <c r="M101" s="177" t="n">
        <f aca="false">M$3*$E101</f>
        <v>6.01047452526162</v>
      </c>
      <c r="N101" s="177" t="n">
        <f aca="false">N$3*$E101</f>
        <v>6.17362846326767</v>
      </c>
      <c r="O101" s="177" t="n">
        <f aca="false">O$3*$E101</f>
        <v>6.42235486412499</v>
      </c>
      <c r="P101" s="177" t="n">
        <f aca="false">P$3*$E101</f>
        <v>6.78514696920459</v>
      </c>
      <c r="Q101" s="177" t="n">
        <f aca="false">Q$3*$E101</f>
        <v>7.28160367478402</v>
      </c>
      <c r="R101" s="177" t="n">
        <f aca="false">R$3*$E101</f>
        <v>7.90478191282896</v>
      </c>
      <c r="S101" s="177" t="n">
        <f aca="false">S$3*$E101</f>
        <v>8.607493875</v>
      </c>
      <c r="T101" s="177" t="n">
        <f aca="false">T$3*$E101</f>
        <v>9.31020583717104</v>
      </c>
      <c r="U101" s="177" t="n">
        <f aca="false">U$3*$E101</f>
        <v>9.93338407521598</v>
      </c>
      <c r="V101" s="177" t="n">
        <f aca="false">V$3*$E101</f>
        <v>10.4298407807954</v>
      </c>
      <c r="W101" s="177" t="n">
        <f aca="false">W$3*$E101</f>
        <v>10.792632885875</v>
      </c>
      <c r="X101" s="177" t="n">
        <f aca="false">X$3*$E101</f>
        <v>11.0413592867323</v>
      </c>
      <c r="Y101" s="177" t="n">
        <f aca="false">Y$3*$E101</f>
        <v>11.2045132247384</v>
      </c>
      <c r="Z101" s="177" t="n">
        <f aca="false">Z$3*$E101</f>
        <v>11.3084552688967</v>
      </c>
      <c r="AA101" s="177" t="n">
        <f aca="false">AA$3*$E101</f>
        <v>11.3734477052779</v>
      </c>
      <c r="AB101" s="177" t="n">
        <f aca="false">AB$3*$E101</f>
        <v>11.4136118057348</v>
      </c>
      <c r="AC101" s="177" t="n">
        <f aca="false">AC$3*$E101</f>
        <v>11.4382527177753</v>
      </c>
      <c r="AD101" s="219" t="n">
        <f aca="false">Algae_electricity_factor/H101</f>
        <v>0.00239505202730033</v>
      </c>
      <c r="AE101" s="220" t="n">
        <f aca="false">Algae_electricity_factor/I101</f>
        <v>0.00239505202730033</v>
      </c>
      <c r="AF101" s="220" t="n">
        <f aca="false">Algae_electricity_factor/J101</f>
        <v>0.00239505202730033</v>
      </c>
      <c r="AG101" s="220" t="n">
        <f aca="false">Algae_electricity_factor/K101</f>
        <v>0.00239505202730033</v>
      </c>
      <c r="AH101" s="220" t="n">
        <f aca="false">Algae_electricity_factor/L101</f>
        <v>0.00239505202730033</v>
      </c>
      <c r="AI101" s="220" t="n">
        <f aca="false">Algae_electricity_factor/M101</f>
        <v>0.00228660766230118</v>
      </c>
      <c r="AJ101" s="220" t="n">
        <f aca="false">Algae_electricity_factor/N101</f>
        <v>0.00222617820059985</v>
      </c>
      <c r="AK101" s="220" t="n">
        <f aca="false">Algae_electricity_factor/O101</f>
        <v>0.00213996227151826</v>
      </c>
      <c r="AL101" s="220" t="n">
        <f aca="false">Algae_electricity_factor/P101</f>
        <v>0.0020255415491966</v>
      </c>
      <c r="AM101" s="220" t="n">
        <f aca="false">Algae_electricity_factor/Q101</f>
        <v>0.00188744097006034</v>
      </c>
      <c r="AN101" s="220" t="n">
        <f aca="false">Algae_electricity_factor/R101</f>
        <v>0.00173864342559841</v>
      </c>
      <c r="AO101" s="220" t="n">
        <f aca="false">Algae_electricity_factor/S101</f>
        <v>0.00159670135153355</v>
      </c>
      <c r="AP101" s="220" t="n">
        <f aca="false">Algae_electricity_factor/T101</f>
        <v>0.00147618617073512</v>
      </c>
      <c r="AQ101" s="220" t="n">
        <f aca="false">Algae_electricity_factor/U101</f>
        <v>0.00138357653338099</v>
      </c>
      <c r="AR101" s="220" t="n">
        <f aca="false">Algae_electricity_factor/V101</f>
        <v>0.00131771878328531</v>
      </c>
      <c r="AS101" s="220" t="n">
        <f aca="false">Algae_electricity_factor/W101</f>
        <v>0.00127342394102151</v>
      </c>
      <c r="AT101" s="220" t="n">
        <f aca="false">Algae_electricity_factor/X101</f>
        <v>0.00124473778514245</v>
      </c>
      <c r="AU101" s="220" t="n">
        <f aca="false">Algae_electricity_factor/Y101</f>
        <v>0.00122661260046397</v>
      </c>
      <c r="AV101" s="220" t="n">
        <f aca="false">Algae_electricity_factor/Z101</f>
        <v>0.00121533814979401</v>
      </c>
      <c r="AW101" s="220" t="n">
        <f aca="false">Algae_electricity_factor/AA101</f>
        <v>0.00120839322074269</v>
      </c>
      <c r="AX101" s="220" t="n">
        <f aca="false">Algae_electricity_factor/AB101</f>
        <v>0.00120414092729383</v>
      </c>
      <c r="AY101" s="220" t="n">
        <f aca="false">Algae_electricity_factor/AC101</f>
        <v>0.00120154690079293</v>
      </c>
      <c r="AZ101" s="221" t="n">
        <f aca="false">Algae_yield_cost_factor/H101</f>
        <v>0.132589572005862</v>
      </c>
      <c r="BA101" s="197" t="n">
        <f aca="false">Algae_yield_cost_factor/I101</f>
        <v>0.132589572005862</v>
      </c>
      <c r="BB101" s="197" t="n">
        <f aca="false">Algae_yield_cost_factor/J101</f>
        <v>0.132589572005862</v>
      </c>
      <c r="BC101" s="197" t="n">
        <f aca="false">Algae_yield_cost_factor/K101</f>
        <v>0.132589572005862</v>
      </c>
      <c r="BD101" s="197" t="n">
        <f aca="false">Algae_yield_cost_factor/L101</f>
        <v>0.132589572005862</v>
      </c>
      <c r="BE101" s="197" t="n">
        <f aca="false">Algae_yield_cost_factor/M101</f>
        <v>0.126586114971197</v>
      </c>
      <c r="BF101" s="197" t="n">
        <f aca="false">Algae_yield_cost_factor/N101</f>
        <v>0.123240752794428</v>
      </c>
      <c r="BG101" s="197" t="n">
        <f aca="false">Algae_yield_cost_factor/O101</f>
        <v>0.118467857255328</v>
      </c>
      <c r="BH101" s="197" t="n">
        <f aca="false">Algae_yield_cost_factor/P101</f>
        <v>0.11213355034746</v>
      </c>
      <c r="BI101" s="197" t="n">
        <f aca="false">Algae_yield_cost_factor/Q101</f>
        <v>0.104488331591157</v>
      </c>
      <c r="BJ101" s="197" t="n">
        <f aca="false">Algae_yield_cost_factor/R101</f>
        <v>0.0962509311043001</v>
      </c>
      <c r="BK101" s="197" t="n">
        <f aca="false">Algae_yield_cost_factor/S101</f>
        <v>0.0883930480039079</v>
      </c>
      <c r="BL101" s="197" t="n">
        <f aca="false">Algae_yield_cost_factor/T101</f>
        <v>0.0817213531679987</v>
      </c>
      <c r="BM101" s="197" t="n">
        <f aca="false">Algae_yield_cost_factor/U101</f>
        <v>0.0765945032956631</v>
      </c>
      <c r="BN101" s="197" t="n">
        <f aca="false">Algae_yield_cost_factor/V101</f>
        <v>0.0729486322252556</v>
      </c>
      <c r="BO101" s="197" t="n">
        <f aca="false">Algae_yield_cost_factor/W101</f>
        <v>0.0704964791568126</v>
      </c>
      <c r="BP101" s="197" t="n">
        <f aca="false">Algae_yield_cost_factor/X101</f>
        <v>0.068908419654496</v>
      </c>
      <c r="BQ101" s="197" t="n">
        <f aca="false">Algae_yield_cost_factor/Y101</f>
        <v>0.0679050132768247</v>
      </c>
      <c r="BR101" s="197" t="n">
        <f aca="false">Algae_yield_cost_factor/Z101</f>
        <v>0.0672808620801527</v>
      </c>
      <c r="BS101" s="197" t="n">
        <f aca="false">Algae_yield_cost_factor/AA101</f>
        <v>0.0668963922815723</v>
      </c>
      <c r="BT101" s="197" t="n">
        <f aca="false">Algae_yield_cost_factor/AB101</f>
        <v>0.066660986218572</v>
      </c>
      <c r="BU101" s="197" t="n">
        <f aca="false">Algae_yield_cost_factor/AC101</f>
        <v>0.0665173814619301</v>
      </c>
    </row>
    <row r="102" customFormat="false" ht="15" hidden="false" customHeight="false" outlineLevel="0" collapsed="false">
      <c r="A102" s="18" t="s">
        <v>706</v>
      </c>
      <c r="B102" s="18" t="s">
        <v>22</v>
      </c>
      <c r="C102" s="18" t="s">
        <v>686</v>
      </c>
      <c r="D102" s="18" t="s">
        <v>686</v>
      </c>
      <c r="E102" s="28" t="n">
        <v>6.0128275</v>
      </c>
      <c r="F102" s="185" t="n">
        <f aca="false">E102/$B$2*$F$3/1000</f>
        <v>0.014731427375</v>
      </c>
      <c r="G102" s="18" t="n">
        <f aca="false">LOOKUP(RIGHT(D102,5),Ref!$C$4:$C$21,Ref!$E$4:$E$21)*$G$3</f>
        <v>4.5</v>
      </c>
      <c r="H102" s="218" t="n">
        <f aca="false">$E102</f>
        <v>6.0128275</v>
      </c>
      <c r="I102" s="177" t="n">
        <f aca="false">$E102</f>
        <v>6.0128275</v>
      </c>
      <c r="J102" s="177" t="n">
        <f aca="false">$E102</f>
        <v>6.0128275</v>
      </c>
      <c r="K102" s="177" t="n">
        <f aca="false">$E102</f>
        <v>6.0128275</v>
      </c>
      <c r="L102" s="177" t="n">
        <f aca="false">$E102</f>
        <v>6.0128275</v>
      </c>
      <c r="M102" s="177" t="n">
        <f aca="false">M$3*$E102</f>
        <v>6.29799109445359</v>
      </c>
      <c r="N102" s="177" t="n">
        <f aca="false">N$3*$E102</f>
        <v>6.46894965093168</v>
      </c>
      <c r="O102" s="177" t="n">
        <f aca="false">O$3*$E102</f>
        <v>6.72957410761494</v>
      </c>
      <c r="P102" s="177" t="n">
        <f aca="false">P$3*$E102</f>
        <v>7.10972070624476</v>
      </c>
      <c r="Q102" s="177" t="n">
        <f aca="false">Q$3*$E102</f>
        <v>7.6299258743026</v>
      </c>
      <c r="R102" s="177" t="n">
        <f aca="false">R$3*$E102</f>
        <v>8.28291441571788</v>
      </c>
      <c r="S102" s="177" t="n">
        <f aca="false">S$3*$E102</f>
        <v>9.01924125</v>
      </c>
      <c r="T102" s="177" t="n">
        <f aca="false">T$3*$E102</f>
        <v>9.75556808428212</v>
      </c>
      <c r="U102" s="177" t="n">
        <f aca="false">U$3*$E102</f>
        <v>10.4085566256974</v>
      </c>
      <c r="V102" s="177" t="n">
        <f aca="false">V$3*$E102</f>
        <v>10.9287617937552</v>
      </c>
      <c r="W102" s="177" t="n">
        <f aca="false">W$3*$E102</f>
        <v>11.3089083923851</v>
      </c>
      <c r="X102" s="177" t="n">
        <f aca="false">X$3*$E102</f>
        <v>11.5695328490683</v>
      </c>
      <c r="Y102" s="177" t="n">
        <f aca="false">Y$3*$E102</f>
        <v>11.7404914055464</v>
      </c>
      <c r="Z102" s="177" t="n">
        <f aca="false">Z$3*$E102</f>
        <v>11.8494056128519</v>
      </c>
      <c r="AA102" s="177" t="n">
        <f aca="false">AA$3*$E102</f>
        <v>11.9175070221192</v>
      </c>
      <c r="AB102" s="177" t="n">
        <f aca="false">AB$3*$E102</f>
        <v>11.9595924092099</v>
      </c>
      <c r="AC102" s="177" t="n">
        <f aca="false">AC$3*$E102</f>
        <v>11.9854120419091</v>
      </c>
      <c r="AD102" s="219" t="n">
        <f aca="false">Algae_electricity_factor/H102</f>
        <v>0.00228571285364984</v>
      </c>
      <c r="AE102" s="220" t="n">
        <f aca="false">Algae_electricity_factor/I102</f>
        <v>0.00228571285364984</v>
      </c>
      <c r="AF102" s="220" t="n">
        <f aca="false">Algae_electricity_factor/J102</f>
        <v>0.00228571285364984</v>
      </c>
      <c r="AG102" s="220" t="n">
        <f aca="false">Algae_electricity_factor/K102</f>
        <v>0.00228571285364984</v>
      </c>
      <c r="AH102" s="220" t="n">
        <f aca="false">Algae_electricity_factor/L102</f>
        <v>0.00228571285364984</v>
      </c>
      <c r="AI102" s="220" t="n">
        <f aca="false">Algae_electricity_factor/M102</f>
        <v>0.00218221920250614</v>
      </c>
      <c r="AJ102" s="220" t="n">
        <f aca="false">Algae_electricity_factor/N102</f>
        <v>0.00212454847311261</v>
      </c>
      <c r="AK102" s="220" t="n">
        <f aca="false">Algae_electricity_factor/O102</f>
        <v>0.00204226848293081</v>
      </c>
      <c r="AL102" s="220" t="n">
        <f aca="false">Algae_electricity_factor/P102</f>
        <v>0.00193307130777411</v>
      </c>
      <c r="AM102" s="220" t="n">
        <f aca="false">Algae_electricity_factor/Q102</f>
        <v>0.0018012753111819</v>
      </c>
      <c r="AN102" s="220" t="n">
        <f aca="false">Algae_electricity_factor/R102</f>
        <v>0.0016592706882796</v>
      </c>
      <c r="AO102" s="220" t="n">
        <f aca="false">Algae_electricity_factor/S102</f>
        <v>0.0015238085690999</v>
      </c>
      <c r="AP102" s="220" t="n">
        <f aca="false">Algae_electricity_factor/T102</f>
        <v>0.00140879516034259</v>
      </c>
      <c r="AQ102" s="220" t="n">
        <f aca="false">Algae_electricity_factor/U102</f>
        <v>0.00132041334814839</v>
      </c>
      <c r="AR102" s="220" t="n">
        <f aca="false">Algae_electricity_factor/V102</f>
        <v>0.00125756214316817</v>
      </c>
      <c r="AS102" s="220" t="n">
        <f aca="false">Algae_electricity_factor/W102</f>
        <v>0.00121528945382417</v>
      </c>
      <c r="AT102" s="220" t="n">
        <f aca="false">Algae_electricity_factor/X102</f>
        <v>0.00118791288142944</v>
      </c>
      <c r="AU102" s="220" t="n">
        <f aca="false">Algae_electricity_factor/Y102</f>
        <v>0.00117061514963816</v>
      </c>
      <c r="AV102" s="220" t="n">
        <f aca="false">Algae_electricity_factor/Z102</f>
        <v>0.00115985540140705</v>
      </c>
      <c r="AW102" s="220" t="n">
        <f aca="false">Algae_electricity_factor/AA102</f>
        <v>0.00115322752300635</v>
      </c>
      <c r="AX102" s="220" t="n">
        <f aca="false">Algae_electricity_factor/AB102</f>
        <v>0.00114916935571697</v>
      </c>
      <c r="AY102" s="220" t="n">
        <f aca="false">Algae_electricity_factor/AC102</f>
        <v>0.00114669375199387</v>
      </c>
      <c r="AZ102" s="221" t="n">
        <f aca="false">Algae_yield_cost_factor/H102</f>
        <v>0.126536578554136</v>
      </c>
      <c r="BA102" s="197" t="n">
        <f aca="false">Algae_yield_cost_factor/I102</f>
        <v>0.126536578554136</v>
      </c>
      <c r="BB102" s="197" t="n">
        <f aca="false">Algae_yield_cost_factor/J102</f>
        <v>0.126536578554136</v>
      </c>
      <c r="BC102" s="197" t="n">
        <f aca="false">Algae_yield_cost_factor/K102</f>
        <v>0.126536578554136</v>
      </c>
      <c r="BD102" s="197" t="n">
        <f aca="false">Algae_yield_cost_factor/L102</f>
        <v>0.126536578554136</v>
      </c>
      <c r="BE102" s="197" t="n">
        <f aca="false">Algae_yield_cost_factor/M102</f>
        <v>0.120807191987976</v>
      </c>
      <c r="BF102" s="197" t="n">
        <f aca="false">Algae_yield_cost_factor/N102</f>
        <v>0.117614552646369</v>
      </c>
      <c r="BG102" s="197" t="n">
        <f aca="false">Algae_yield_cost_factor/O102</f>
        <v>0.113059549849563</v>
      </c>
      <c r="BH102" s="197" t="n">
        <f aca="false">Algae_yield_cost_factor/P102</f>
        <v>0.107014417404321</v>
      </c>
      <c r="BI102" s="197" t="n">
        <f aca="false">Algae_yield_cost_factor/Q102</f>
        <v>0.0997182189998355</v>
      </c>
      <c r="BJ102" s="197" t="n">
        <f aca="false">Algae_yield_cost_factor/R102</f>
        <v>0.0918568732090751</v>
      </c>
      <c r="BK102" s="197" t="n">
        <f aca="false">Algae_yield_cost_factor/S102</f>
        <v>0.0843577190360905</v>
      </c>
      <c r="BL102" s="197" t="n">
        <f aca="false">Algae_yield_cost_factor/T102</f>
        <v>0.0779906011329125</v>
      </c>
      <c r="BM102" s="197" t="n">
        <f aca="false">Algae_yield_cost_factor/U102</f>
        <v>0.0730978027642943</v>
      </c>
      <c r="BN102" s="197" t="n">
        <f aca="false">Algae_yield_cost_factor/V102</f>
        <v>0.0696183733934953</v>
      </c>
      <c r="BO102" s="197" t="n">
        <f aca="false">Algae_yield_cost_factor/W102</f>
        <v>0.067278166281596</v>
      </c>
      <c r="BP102" s="197" t="n">
        <f aca="false">Algae_yield_cost_factor/X102</f>
        <v>0.0657626050430798</v>
      </c>
      <c r="BQ102" s="197" t="n">
        <f aca="false">Algae_yield_cost_factor/Y102</f>
        <v>0.0648050062816606</v>
      </c>
      <c r="BR102" s="197" t="n">
        <f aca="false">Algae_yield_cost_factor/Z102</f>
        <v>0.0642093489027843</v>
      </c>
      <c r="BS102" s="197" t="n">
        <f aca="false">Algae_yield_cost_factor/AA102</f>
        <v>0.0638424309609448</v>
      </c>
      <c r="BT102" s="197" t="n">
        <f aca="false">Algae_yield_cost_factor/AB102</f>
        <v>0.0636177716809402</v>
      </c>
      <c r="BU102" s="197" t="n">
        <f aca="false">Algae_yield_cost_factor/AC102</f>
        <v>0.063480722784148</v>
      </c>
    </row>
    <row r="103" customFormat="false" ht="15" hidden="false" customHeight="false" outlineLevel="0" collapsed="false">
      <c r="A103" s="18" t="s">
        <v>706</v>
      </c>
      <c r="B103" s="18" t="s">
        <v>22</v>
      </c>
      <c r="C103" s="18" t="s">
        <v>687</v>
      </c>
      <c r="D103" s="18" t="s">
        <v>687</v>
      </c>
      <c r="E103" s="28" t="n">
        <v>6.23347</v>
      </c>
      <c r="F103" s="185" t="n">
        <f aca="false">E103/$B$2*$F$3/1000</f>
        <v>0.0152720015</v>
      </c>
      <c r="G103" s="18" t="n">
        <f aca="false">LOOKUP(RIGHT(D103,5),Ref!$C$4:$C$21,Ref!$E$4:$E$21)*$G$3</f>
        <v>4.5</v>
      </c>
      <c r="H103" s="218" t="n">
        <f aca="false">$E103</f>
        <v>6.23347</v>
      </c>
      <c r="I103" s="177" t="n">
        <f aca="false">$E103</f>
        <v>6.23347</v>
      </c>
      <c r="J103" s="177" t="n">
        <f aca="false">$E103</f>
        <v>6.23347</v>
      </c>
      <c r="K103" s="177" t="n">
        <f aca="false">$E103</f>
        <v>6.23347</v>
      </c>
      <c r="L103" s="177" t="n">
        <f aca="false">$E103</f>
        <v>6.23347</v>
      </c>
      <c r="M103" s="177" t="n">
        <f aca="false">M$3*$E103</f>
        <v>6.52909775767617</v>
      </c>
      <c r="N103" s="177" t="n">
        <f aca="false">N$3*$E103</f>
        <v>6.70632968941702</v>
      </c>
      <c r="O103" s="177" t="n">
        <f aca="false">O$3*$E103</f>
        <v>6.97651783833721</v>
      </c>
      <c r="P103" s="177" t="n">
        <f aca="false">P$3*$E103</f>
        <v>7.37061402988121</v>
      </c>
      <c r="Q103" s="177" t="n">
        <f aca="false">Q$3*$E103</f>
        <v>7.90990828186722</v>
      </c>
      <c r="R103" s="177" t="n">
        <f aca="false">R$3*$E103</f>
        <v>8.58685843273318</v>
      </c>
      <c r="S103" s="177" t="n">
        <f aca="false">S$3*$E103</f>
        <v>9.350205</v>
      </c>
      <c r="T103" s="177" t="n">
        <f aca="false">T$3*$E103</f>
        <v>10.1135515672668</v>
      </c>
      <c r="U103" s="177" t="n">
        <f aca="false">U$3*$E103</f>
        <v>10.7905017181328</v>
      </c>
      <c r="V103" s="177" t="n">
        <f aca="false">V$3*$E103</f>
        <v>11.3297959701188</v>
      </c>
      <c r="W103" s="177" t="n">
        <f aca="false">W$3*$E103</f>
        <v>11.7238921616628</v>
      </c>
      <c r="X103" s="177" t="n">
        <f aca="false">X$3*$E103</f>
        <v>11.994080310583</v>
      </c>
      <c r="Y103" s="177" t="n">
        <f aca="false">Y$3*$E103</f>
        <v>12.1713122423238</v>
      </c>
      <c r="Z103" s="177" t="n">
        <f aca="false">Z$3*$E103</f>
        <v>12.2842230889783</v>
      </c>
      <c r="AA103" s="177" t="n">
        <f aca="false">AA$3*$E103</f>
        <v>12.3548234997876</v>
      </c>
      <c r="AB103" s="177" t="n">
        <f aca="false">AB$3*$E103</f>
        <v>12.3984532227205</v>
      </c>
      <c r="AC103" s="177" t="n">
        <f aca="false">AC$3*$E103</f>
        <v>12.425220314549</v>
      </c>
      <c r="AD103" s="219" t="n">
        <f aca="false">Algae_electricity_factor/H103</f>
        <v>0.00220480680961475</v>
      </c>
      <c r="AE103" s="220" t="n">
        <f aca="false">Algae_electricity_factor/I103</f>
        <v>0.00220480680961475</v>
      </c>
      <c r="AF103" s="220" t="n">
        <f aca="false">Algae_electricity_factor/J103</f>
        <v>0.00220480680961475</v>
      </c>
      <c r="AG103" s="220" t="n">
        <f aca="false">Algae_electricity_factor/K103</f>
        <v>0.00220480680961475</v>
      </c>
      <c r="AH103" s="220" t="n">
        <f aca="false">Algae_electricity_factor/L103</f>
        <v>0.00220480680961475</v>
      </c>
      <c r="AI103" s="220" t="n">
        <f aca="false">Algae_electricity_factor/M103</f>
        <v>0.00210497646284605</v>
      </c>
      <c r="AJ103" s="220" t="n">
        <f aca="false">Algae_electricity_factor/N103</f>
        <v>0.00204934707060666</v>
      </c>
      <c r="AK103" s="220" t="n">
        <f aca="false">Algae_electricity_factor/O103</f>
        <v>0.0019699794972222</v>
      </c>
      <c r="AL103" s="220" t="n">
        <f aca="false">Algae_electricity_factor/P103</f>
        <v>0.00186464751075166</v>
      </c>
      <c r="AM103" s="220" t="n">
        <f aca="false">Algae_electricity_factor/Q103</f>
        <v>0.00173751662014024</v>
      </c>
      <c r="AN103" s="220" t="n">
        <f aca="false">Algae_electricity_factor/R103</f>
        <v>0.00160053845200691</v>
      </c>
      <c r="AO103" s="220" t="n">
        <f aca="false">Algae_electricity_factor/S103</f>
        <v>0.00146987120640983</v>
      </c>
      <c r="AP103" s="220" t="n">
        <f aca="false">Algae_electricity_factor/T103</f>
        <v>0.00135892886016534</v>
      </c>
      <c r="AQ103" s="220" t="n">
        <f aca="false">Algae_electricity_factor/U103</f>
        <v>0.00127367544740149</v>
      </c>
      <c r="AR103" s="220" t="n">
        <f aca="false">Algae_electricity_factor/V103</f>
        <v>0.00121304894984664</v>
      </c>
      <c r="AS103" s="220" t="n">
        <f aca="false">Algae_electricity_factor/W103</f>
        <v>0.00117227256221879</v>
      </c>
      <c r="AT103" s="220" t="n">
        <f aca="false">Algae_electricity_factor/X103</f>
        <v>0.0011458650223813</v>
      </c>
      <c r="AU103" s="220" t="n">
        <f aca="false">Algae_electricity_factor/Y103</f>
        <v>0.00112917956830801</v>
      </c>
      <c r="AV103" s="220" t="n">
        <f aca="false">Algae_electricity_factor/Z103</f>
        <v>0.0011188006766061</v>
      </c>
      <c r="AW103" s="220" t="n">
        <f aca="false">Algae_electricity_factor/AA103</f>
        <v>0.0011124074013494</v>
      </c>
      <c r="AX103" s="220" t="n">
        <f aca="false">Algae_electricity_factor/AB103</f>
        <v>0.00110849287863939</v>
      </c>
      <c r="AY103" s="220" t="n">
        <f aca="false">Algae_electricity_factor/AC103</f>
        <v>0.00110610490241662</v>
      </c>
      <c r="AZ103" s="221" t="n">
        <f aca="false">Algae_yield_cost_factor/H103</f>
        <v>0.122057637124462</v>
      </c>
      <c r="BA103" s="197" t="n">
        <f aca="false">Algae_yield_cost_factor/I103</f>
        <v>0.122057637124462</v>
      </c>
      <c r="BB103" s="197" t="n">
        <f aca="false">Algae_yield_cost_factor/J103</f>
        <v>0.122057637124462</v>
      </c>
      <c r="BC103" s="197" t="n">
        <f aca="false">Algae_yield_cost_factor/K103</f>
        <v>0.122057637124462</v>
      </c>
      <c r="BD103" s="197" t="n">
        <f aca="false">Algae_yield_cost_factor/L103</f>
        <v>0.122057637124462</v>
      </c>
      <c r="BE103" s="197" t="n">
        <f aca="false">Algae_yield_cost_factor/M103</f>
        <v>0.116531050311156</v>
      </c>
      <c r="BF103" s="197" t="n">
        <f aca="false">Algae_yield_cost_factor/N103</f>
        <v>0.113451418961235</v>
      </c>
      <c r="BG103" s="197" t="n">
        <f aca="false">Algae_yield_cost_factor/O103</f>
        <v>0.109057646940319</v>
      </c>
      <c r="BH103" s="197" t="n">
        <f aca="false">Algae_yield_cost_factor/P103</f>
        <v>0.103226490520557</v>
      </c>
      <c r="BI103" s="197" t="n">
        <f aca="false">Algae_yield_cost_factor/Q103</f>
        <v>0.0961885513932422</v>
      </c>
      <c r="BJ103" s="197" t="n">
        <f aca="false">Algae_yield_cost_factor/R103</f>
        <v>0.0886054690718877</v>
      </c>
      <c r="BK103" s="197" t="n">
        <f aca="false">Algae_yield_cost_factor/S103</f>
        <v>0.0813717580829744</v>
      </c>
      <c r="BL103" s="197" t="n">
        <f aca="false">Algae_yield_cost_factor/T103</f>
        <v>0.0752300133366339</v>
      </c>
      <c r="BM103" s="197" t="n">
        <f aca="false">Algae_yield_cost_factor/U103</f>
        <v>0.0705104024966391</v>
      </c>
      <c r="BN103" s="197" t="n">
        <f aca="false">Algae_yield_cost_factor/V103</f>
        <v>0.0671541324568302</v>
      </c>
      <c r="BO103" s="197" t="n">
        <f aca="false">Algae_yield_cost_factor/W103</f>
        <v>0.0648967602904246</v>
      </c>
      <c r="BP103" s="197" t="n">
        <f aca="false">Algae_yield_cost_factor/X103</f>
        <v>0.0634348444886506</v>
      </c>
      <c r="BQ103" s="197" t="n">
        <f aca="false">Algae_yield_cost_factor/Y103</f>
        <v>0.0625111412917752</v>
      </c>
      <c r="BR103" s="197" t="n">
        <f aca="false">Algae_yield_cost_factor/Z103</f>
        <v>0.0619365680495384</v>
      </c>
      <c r="BS103" s="197" t="n">
        <f aca="false">Algae_yield_cost_factor/AA103</f>
        <v>0.0615826376879684</v>
      </c>
      <c r="BT103" s="197" t="n">
        <f aca="false">Algae_yield_cost_factor/AB103</f>
        <v>0.0613659305413965</v>
      </c>
      <c r="BU103" s="197" t="n">
        <f aca="false">Algae_yield_cost_factor/AC103</f>
        <v>0.061233732684428</v>
      </c>
    </row>
    <row r="104" customFormat="false" ht="15" hidden="false" customHeight="false" outlineLevel="0" collapsed="false">
      <c r="A104" s="18" t="s">
        <v>706</v>
      </c>
      <c r="B104" s="18" t="s">
        <v>22</v>
      </c>
      <c r="C104" s="18" t="s">
        <v>688</v>
      </c>
      <c r="D104" s="18" t="s">
        <v>688</v>
      </c>
      <c r="E104" s="28" t="n">
        <v>7.3073</v>
      </c>
      <c r="F104" s="185" t="n">
        <f aca="false">E104/$B$2*$F$3/1000</f>
        <v>0.017902885</v>
      </c>
      <c r="G104" s="18" t="n">
        <f aca="false">LOOKUP(RIGHT(D104,5),Ref!$C$4:$C$21,Ref!$E$4:$E$21)*$G$3</f>
        <v>4.5</v>
      </c>
      <c r="H104" s="218" t="n">
        <f aca="false">$E104</f>
        <v>7.3073</v>
      </c>
      <c r="I104" s="177" t="n">
        <f aca="false">$E104</f>
        <v>7.3073</v>
      </c>
      <c r="J104" s="177" t="n">
        <f aca="false">$E104</f>
        <v>7.3073</v>
      </c>
      <c r="K104" s="177" t="n">
        <f aca="false">$E104</f>
        <v>7.3073</v>
      </c>
      <c r="L104" s="177" t="n">
        <f aca="false">$E104</f>
        <v>7.3073</v>
      </c>
      <c r="M104" s="177" t="n">
        <f aca="false">M$3*$E104</f>
        <v>7.65385508307043</v>
      </c>
      <c r="N104" s="177" t="n">
        <f aca="false">N$3*$E104</f>
        <v>7.86161847886923</v>
      </c>
      <c r="O104" s="177" t="n">
        <f aca="false">O$3*$E104</f>
        <v>8.17835151209222</v>
      </c>
      <c r="P104" s="177" t="n">
        <f aca="false">P$3*$E104</f>
        <v>8.64033803011019</v>
      </c>
      <c r="Q104" s="177" t="n">
        <f aca="false">Q$3*$E104</f>
        <v>9.27253564837697</v>
      </c>
      <c r="R104" s="177" t="n">
        <f aca="false">R$3*$E104</f>
        <v>10.0661029291087</v>
      </c>
      <c r="S104" s="177" t="n">
        <f aca="false">S$3*$E104</f>
        <v>10.96095</v>
      </c>
      <c r="T104" s="177" t="n">
        <f aca="false">T$3*$E104</f>
        <v>11.8557970708913</v>
      </c>
      <c r="U104" s="177" t="n">
        <f aca="false">U$3*$E104</f>
        <v>12.649364351623</v>
      </c>
      <c r="V104" s="177" t="n">
        <f aca="false">V$3*$E104</f>
        <v>13.2815619698898</v>
      </c>
      <c r="W104" s="177" t="n">
        <f aca="false">W$3*$E104</f>
        <v>13.7435484879078</v>
      </c>
      <c r="X104" s="177" t="n">
        <f aca="false">X$3*$E104</f>
        <v>14.0602815211308</v>
      </c>
      <c r="Y104" s="177" t="n">
        <f aca="false">Y$3*$E104</f>
        <v>14.2680449169296</v>
      </c>
      <c r="Z104" s="177" t="n">
        <f aca="false">Z$3*$E104</f>
        <v>14.4004067362306</v>
      </c>
      <c r="AA104" s="177" t="n">
        <f aca="false">AA$3*$E104</f>
        <v>14.483169367944</v>
      </c>
      <c r="AB104" s="177" t="n">
        <f aca="false">AB$3*$E104</f>
        <v>14.5343151141155</v>
      </c>
      <c r="AC104" s="177" t="n">
        <f aca="false">AC$3*$E104</f>
        <v>14.565693330441</v>
      </c>
      <c r="AD104" s="219" t="n">
        <f aca="false">Algae_electricity_factor/H104</f>
        <v>0.00188080373099904</v>
      </c>
      <c r="AE104" s="220" t="n">
        <f aca="false">Algae_electricity_factor/I104</f>
        <v>0.00188080373099904</v>
      </c>
      <c r="AF104" s="220" t="n">
        <f aca="false">Algae_electricity_factor/J104</f>
        <v>0.00188080373099904</v>
      </c>
      <c r="AG104" s="220" t="n">
        <f aca="false">Algae_electricity_factor/K104</f>
        <v>0.00188080373099904</v>
      </c>
      <c r="AH104" s="220" t="n">
        <f aca="false">Algae_electricity_factor/L104</f>
        <v>0.00188080373099904</v>
      </c>
      <c r="AI104" s="220" t="n">
        <f aca="false">Algae_electricity_factor/M104</f>
        <v>0.00179564375786638</v>
      </c>
      <c r="AJ104" s="220" t="n">
        <f aca="false">Algae_electricity_factor/N104</f>
        <v>0.00174818927431671</v>
      </c>
      <c r="AK104" s="220" t="n">
        <f aca="false">Algae_electricity_factor/O104</f>
        <v>0.00168048500767037</v>
      </c>
      <c r="AL104" s="220" t="n">
        <f aca="false">Algae_electricity_factor/P104</f>
        <v>0.00159063187755329</v>
      </c>
      <c r="AM104" s="220" t="n">
        <f aca="false">Algae_electricity_factor/Q104</f>
        <v>0.00148218325867907</v>
      </c>
      <c r="AN104" s="220" t="n">
        <f aca="false">Algae_electricity_factor/R104</f>
        <v>0.00136533444971898</v>
      </c>
      <c r="AO104" s="220" t="n">
        <f aca="false">Algae_electricity_factor/S104</f>
        <v>0.00125386915399936</v>
      </c>
      <c r="AP104" s="220" t="n">
        <f aca="false">Algae_electricity_factor/T104</f>
        <v>0.00115923012357161</v>
      </c>
      <c r="AQ104" s="220" t="n">
        <f aca="false">Algae_electricity_factor/U104</f>
        <v>0.00108650495957655</v>
      </c>
      <c r="AR104" s="220" t="n">
        <f aca="false">Algae_electricity_factor/V104</f>
        <v>0.00103478771056348</v>
      </c>
      <c r="AS104" s="220" t="n">
        <f aca="false">Algae_electricity_factor/W104</f>
        <v>0.00100000353734129</v>
      </c>
      <c r="AT104" s="220" t="n">
        <f aca="false">Algae_electricity_factor/X104</f>
        <v>0.000977476665945446</v>
      </c>
      <c r="AU104" s="220" t="n">
        <f aca="false">Algae_electricity_factor/Y104</f>
        <v>0.000963243190188024</v>
      </c>
      <c r="AV104" s="220" t="n">
        <f aca="false">Algae_electricity_factor/Z104</f>
        <v>0.000954389508245704</v>
      </c>
      <c r="AW104" s="220" t="n">
        <f aca="false">Algae_electricity_factor/AA104</f>
        <v>0.000948935744267987</v>
      </c>
      <c r="AX104" s="220" t="n">
        <f aca="false">Algae_electricity_factor/AB104</f>
        <v>0.000945596472597579</v>
      </c>
      <c r="AY104" s="220" t="n">
        <f aca="false">Algae_electricity_factor/AC104</f>
        <v>0.000943559416756797</v>
      </c>
      <c r="AZ104" s="221" t="n">
        <f aca="false">Algae_yield_cost_factor/H104</f>
        <v>0.104120895445133</v>
      </c>
      <c r="BA104" s="197" t="n">
        <f aca="false">Algae_yield_cost_factor/I104</f>
        <v>0.104120895445133</v>
      </c>
      <c r="BB104" s="197" t="n">
        <f aca="false">Algae_yield_cost_factor/J104</f>
        <v>0.104120895445133</v>
      </c>
      <c r="BC104" s="197" t="n">
        <f aca="false">Algae_yield_cost_factor/K104</f>
        <v>0.104120895445133</v>
      </c>
      <c r="BD104" s="197" t="n">
        <f aca="false">Algae_yield_cost_factor/L104</f>
        <v>0.104120895445133</v>
      </c>
      <c r="BE104" s="197" t="n">
        <f aca="false">Algae_yield_cost_factor/M104</f>
        <v>0.0994064574032929</v>
      </c>
      <c r="BF104" s="197" t="n">
        <f aca="false">Algae_yield_cost_factor/N104</f>
        <v>0.0967793872637346</v>
      </c>
      <c r="BG104" s="197" t="n">
        <f aca="false">Algae_yield_cost_factor/O104</f>
        <v>0.0930312934289096</v>
      </c>
      <c r="BH104" s="197" t="n">
        <f aca="false">Algae_yield_cost_factor/P104</f>
        <v>0.0880570432122914</v>
      </c>
      <c r="BI104" s="197" t="n">
        <f aca="false">Algae_yield_cost_factor/Q104</f>
        <v>0.0820533506840055</v>
      </c>
      <c r="BJ104" s="197" t="n">
        <f aca="false">Algae_yield_cost_factor/R104</f>
        <v>0.0755846254150699</v>
      </c>
      <c r="BK104" s="197" t="n">
        <f aca="false">Algae_yield_cost_factor/S104</f>
        <v>0.0694139302967551</v>
      </c>
      <c r="BL104" s="197" t="n">
        <f aca="false">Algae_yield_cost_factor/T104</f>
        <v>0.0641747336544972</v>
      </c>
      <c r="BM104" s="197" t="n">
        <f aca="false">Algae_yield_cost_factor/U104</f>
        <v>0.0601486840078723</v>
      </c>
      <c r="BN104" s="197" t="n">
        <f aca="false">Algae_yield_cost_factor/V104</f>
        <v>0.0572856280768105</v>
      </c>
      <c r="BO104" s="197" t="n">
        <f aca="false">Algae_yield_cost_factor/W104</f>
        <v>0.0553599836283652</v>
      </c>
      <c r="BP104" s="197" t="n">
        <f aca="false">Algae_yield_cost_factor/X104</f>
        <v>0.0541129008080507</v>
      </c>
      <c r="BQ104" s="197" t="n">
        <f aca="false">Algae_yield_cost_factor/Y104</f>
        <v>0.0533249386104364</v>
      </c>
      <c r="BR104" s="197" t="n">
        <f aca="false">Algae_yield_cost_factor/Z104</f>
        <v>0.052834800656844</v>
      </c>
      <c r="BS104" s="197" t="n">
        <f aca="false">Algae_yield_cost_factor/AA104</f>
        <v>0.0525328814403159</v>
      </c>
      <c r="BT104" s="197" t="n">
        <f aca="false">Algae_yield_cost_factor/AB104</f>
        <v>0.0523480200692292</v>
      </c>
      <c r="BU104" s="197" t="n">
        <f aca="false">Algae_yield_cost_factor/AC104</f>
        <v>0.0522352490901429</v>
      </c>
    </row>
    <row r="105" customFormat="false" ht="15" hidden="false" customHeight="false" outlineLevel="0" collapsed="false">
      <c r="A105" s="18" t="s">
        <v>707</v>
      </c>
      <c r="B105" s="18" t="s">
        <v>22</v>
      </c>
      <c r="C105" s="18" t="s">
        <v>684</v>
      </c>
      <c r="D105" s="18" t="s">
        <v>684</v>
      </c>
      <c r="E105" s="28" t="n">
        <v>4.667255</v>
      </c>
      <c r="F105" s="185" t="n">
        <f aca="false">E105/$B$2*$F$3/1000</f>
        <v>0.01143477475</v>
      </c>
      <c r="G105" s="18" t="n">
        <f aca="false">LOOKUP(RIGHT(D105,5),Ref!$C$4:$C$21,Ref!$E$4:$E$21)*$G$3</f>
        <v>3.5</v>
      </c>
      <c r="H105" s="218" t="n">
        <f aca="false">$E105</f>
        <v>4.667255</v>
      </c>
      <c r="I105" s="177" t="n">
        <f aca="false">$E105</f>
        <v>4.667255</v>
      </c>
      <c r="J105" s="177" t="n">
        <f aca="false">$E105</f>
        <v>4.667255</v>
      </c>
      <c r="K105" s="177" t="n">
        <f aca="false">$E105</f>
        <v>4.667255</v>
      </c>
      <c r="L105" s="177" t="n">
        <f aca="false">$E105</f>
        <v>4.667255</v>
      </c>
      <c r="M105" s="177" t="n">
        <f aca="false">M$3*$E105</f>
        <v>4.88860364371736</v>
      </c>
      <c r="N105" s="177" t="n">
        <f aca="false">N$3*$E105</f>
        <v>5.02130446999505</v>
      </c>
      <c r="O105" s="177" t="n">
        <f aca="false">O$3*$E105</f>
        <v>5.22360543382234</v>
      </c>
      <c r="P105" s="177" t="n">
        <f aca="false">P$3*$E105</f>
        <v>5.51868143811284</v>
      </c>
      <c r="Q105" s="177" t="n">
        <f aca="false">Q$3*$E105</f>
        <v>5.92247319359622</v>
      </c>
      <c r="R105" s="177" t="n">
        <f aca="false">R$3*$E105</f>
        <v>6.42933357415149</v>
      </c>
      <c r="S105" s="177" t="n">
        <f aca="false">S$3*$E105</f>
        <v>7.0008825</v>
      </c>
      <c r="T105" s="177" t="n">
        <f aca="false">T$3*$E105</f>
        <v>7.57243142584851</v>
      </c>
      <c r="U105" s="177" t="n">
        <f aca="false">U$3*$E105</f>
        <v>8.07929180640378</v>
      </c>
      <c r="V105" s="177" t="n">
        <f aca="false">V$3*$E105</f>
        <v>8.48308356188717</v>
      </c>
      <c r="W105" s="177" t="n">
        <f aca="false">W$3*$E105</f>
        <v>8.77815956617766</v>
      </c>
      <c r="X105" s="177" t="n">
        <f aca="false">X$3*$E105</f>
        <v>8.98046053000495</v>
      </c>
      <c r="Y105" s="177" t="n">
        <f aca="false">Y$3*$E105</f>
        <v>9.11316135628264</v>
      </c>
      <c r="Z105" s="177" t="n">
        <f aca="false">Z$3*$E105</f>
        <v>9.19770234446458</v>
      </c>
      <c r="AA105" s="177" t="n">
        <f aca="false">AA$3*$E105</f>
        <v>9.25056377162338</v>
      </c>
      <c r="AB105" s="177" t="n">
        <f aca="false">AB$3*$E105</f>
        <v>9.28323113707265</v>
      </c>
      <c r="AC105" s="177" t="n">
        <f aca="false">AC$3*$E105</f>
        <v>9.30327275805938</v>
      </c>
      <c r="AD105" s="219" t="n">
        <f aca="false">Algae_electricity_factor/H105</f>
        <v>0.00294468528150471</v>
      </c>
      <c r="AE105" s="220" t="n">
        <f aca="false">Algae_electricity_factor/I105</f>
        <v>0.00294468528150471</v>
      </c>
      <c r="AF105" s="220" t="n">
        <f aca="false">Algae_electricity_factor/J105</f>
        <v>0.00294468528150471</v>
      </c>
      <c r="AG105" s="220" t="n">
        <f aca="false">Algae_electricity_factor/K105</f>
        <v>0.00294468528150471</v>
      </c>
      <c r="AH105" s="220" t="n">
        <f aca="false">Algae_electricity_factor/L105</f>
        <v>0.00294468528150471</v>
      </c>
      <c r="AI105" s="220" t="n">
        <f aca="false">Algae_electricity_factor/M105</f>
        <v>0.00281135434679634</v>
      </c>
      <c r="AJ105" s="220" t="n">
        <f aca="false">Algae_electricity_factor/N105</f>
        <v>0.00273705711048882</v>
      </c>
      <c r="AK105" s="220" t="n">
        <f aca="false">Algae_electricity_factor/O105</f>
        <v>0.00263105574830381</v>
      </c>
      <c r="AL105" s="220" t="n">
        <f aca="false">Algae_electricity_factor/P105</f>
        <v>0.00249037696008578</v>
      </c>
      <c r="AM105" s="220" t="n">
        <f aca="false">Algae_electricity_factor/Q105</f>
        <v>0.00232058409625049</v>
      </c>
      <c r="AN105" s="220" t="n">
        <f aca="false">Algae_electricity_factor/R105</f>
        <v>0.00213763945283288</v>
      </c>
      <c r="AO105" s="220" t="n">
        <f aca="false">Algae_electricity_factor/S105</f>
        <v>0.00196312352100314</v>
      </c>
      <c r="AP105" s="220" t="n">
        <f aca="false">Algae_electricity_factor/T105</f>
        <v>0.00181495167544409</v>
      </c>
      <c r="AQ105" s="220" t="n">
        <f aca="false">Algae_electricity_factor/U105</f>
        <v>0.00170108933219071</v>
      </c>
      <c r="AR105" s="220" t="n">
        <f aca="false">Algae_electricity_factor/V105</f>
        <v>0.00162011808598427</v>
      </c>
      <c r="AS105" s="220" t="n">
        <f aca="false">Algae_electricity_factor/W105</f>
        <v>0.0015656581541857</v>
      </c>
      <c r="AT105" s="220" t="n">
        <f aca="false">Algae_electricity_factor/X105</f>
        <v>0.0015303888990559</v>
      </c>
      <c r="AU105" s="220" t="n">
        <f aca="false">Algae_electricity_factor/Y105</f>
        <v>0.0015081042205024</v>
      </c>
      <c r="AV105" s="220" t="n">
        <f aca="false">Algae_electricity_factor/Z105</f>
        <v>0.00149424243020873</v>
      </c>
      <c r="AW105" s="220" t="n">
        <f aca="false">Algae_electricity_factor/AA105</f>
        <v>0.00148570373037031</v>
      </c>
      <c r="AX105" s="220" t="n">
        <f aca="false">Algae_electricity_factor/AB105</f>
        <v>0.0014804755909442</v>
      </c>
      <c r="AY105" s="220" t="n">
        <f aca="false">Algae_electricity_factor/AC105</f>
        <v>0.00147728626913827</v>
      </c>
      <c r="AZ105" s="221" t="n">
        <f aca="false">Algae_yield_cost_factor/H105</f>
        <v>0.163017152327485</v>
      </c>
      <c r="BA105" s="197" t="n">
        <f aca="false">Algae_yield_cost_factor/I105</f>
        <v>0.163017152327485</v>
      </c>
      <c r="BB105" s="197" t="n">
        <f aca="false">Algae_yield_cost_factor/J105</f>
        <v>0.163017152327485</v>
      </c>
      <c r="BC105" s="197" t="n">
        <f aca="false">Algae_yield_cost_factor/K105</f>
        <v>0.163017152327485</v>
      </c>
      <c r="BD105" s="197" t="n">
        <f aca="false">Algae_yield_cost_factor/L105</f>
        <v>0.163017152327485</v>
      </c>
      <c r="BE105" s="197" t="n">
        <f aca="false">Algae_yield_cost_factor/M105</f>
        <v>0.155635980074601</v>
      </c>
      <c r="BF105" s="197" t="n">
        <f aca="false">Algae_yield_cost_factor/N105</f>
        <v>0.151522900838349</v>
      </c>
      <c r="BG105" s="197" t="n">
        <f aca="false">Algae_yield_cost_factor/O105</f>
        <v>0.145654687921074</v>
      </c>
      <c r="BH105" s="197" t="n">
        <f aca="false">Algae_yield_cost_factor/P105</f>
        <v>0.137866740057095</v>
      </c>
      <c r="BI105" s="197" t="n">
        <f aca="false">Algae_yield_cost_factor/Q105</f>
        <v>0.128467043144896</v>
      </c>
      <c r="BJ105" s="197" t="n">
        <f aca="false">Algae_yield_cost_factor/R105</f>
        <v>0.118339266505803</v>
      </c>
      <c r="BK105" s="197" t="n">
        <f aca="false">Algae_yield_cost_factor/S105</f>
        <v>0.108678101551657</v>
      </c>
      <c r="BL105" s="197" t="n">
        <f aca="false">Algae_yield_cost_factor/T105</f>
        <v>0.100475339623292</v>
      </c>
      <c r="BM105" s="197" t="n">
        <f aca="false">Algae_yield_cost_factor/U105</f>
        <v>0.0941719444621571</v>
      </c>
      <c r="BN105" s="197" t="n">
        <f aca="false">Algae_yield_cost_factor/V105</f>
        <v>0.0896893934541132</v>
      </c>
      <c r="BO105" s="197" t="n">
        <f aca="false">Algae_yield_cost_factor/W105</f>
        <v>0.0866745031860383</v>
      </c>
      <c r="BP105" s="197" t="n">
        <f aca="false">Algae_yield_cost_factor/X105</f>
        <v>0.0847220047061215</v>
      </c>
      <c r="BQ105" s="197" t="n">
        <f aca="false">Algae_yield_cost_factor/Y105</f>
        <v>0.0834883296301663</v>
      </c>
      <c r="BR105" s="197" t="n">
        <f aca="false">Algae_yield_cost_factor/Z105</f>
        <v>0.0827209438609538</v>
      </c>
      <c r="BS105" s="197" t="n">
        <f aca="false">Algae_yield_cost_factor/AA105</f>
        <v>0.0822482432497947</v>
      </c>
      <c r="BT105" s="197" t="n">
        <f aca="false">Algae_yield_cost_factor/AB105</f>
        <v>0.0819588145605669</v>
      </c>
      <c r="BU105" s="197" t="n">
        <f aca="false">Algae_yield_cost_factor/AC105</f>
        <v>0.0817822543821586</v>
      </c>
    </row>
    <row r="106" customFormat="false" ht="15" hidden="false" customHeight="false" outlineLevel="0" collapsed="false">
      <c r="A106" s="18" t="s">
        <v>707</v>
      </c>
      <c r="B106" s="18" t="s">
        <v>22</v>
      </c>
      <c r="C106" s="18" t="s">
        <v>685</v>
      </c>
      <c r="D106" s="18" t="s">
        <v>685</v>
      </c>
      <c r="E106" s="28" t="n">
        <v>4.84063</v>
      </c>
      <c r="F106" s="185" t="n">
        <f aca="false">E106/$B$2*$F$3/1000</f>
        <v>0.0118595435</v>
      </c>
      <c r="G106" s="18" t="n">
        <f aca="false">LOOKUP(RIGHT(D106,5),Ref!$C$4:$C$21,Ref!$E$4:$E$21)*$G$3</f>
        <v>4</v>
      </c>
      <c r="H106" s="218" t="n">
        <f aca="false">$E106</f>
        <v>4.84063</v>
      </c>
      <c r="I106" s="177" t="n">
        <f aca="false">$E106</f>
        <v>4.84063</v>
      </c>
      <c r="J106" s="177" t="n">
        <f aca="false">$E106</f>
        <v>4.84063</v>
      </c>
      <c r="K106" s="177" t="n">
        <f aca="false">$E106</f>
        <v>4.84063</v>
      </c>
      <c r="L106" s="177" t="n">
        <f aca="false">$E106</f>
        <v>4.84063</v>
      </c>
      <c r="M106" s="177" t="n">
        <f aca="false">M$3*$E106</f>
        <v>5.07020110447952</v>
      </c>
      <c r="N106" s="177" t="n">
        <f aca="false">N$3*$E106</f>
        <v>5.20783138195623</v>
      </c>
      <c r="O106" s="177" t="n">
        <f aca="false">O$3*$E106</f>
        <v>5.41764724042792</v>
      </c>
      <c r="P106" s="177" t="n">
        <f aca="false">P$3*$E106</f>
        <v>5.72368446330276</v>
      </c>
      <c r="Q106" s="177" t="n">
        <f aca="false">Q$3*$E106</f>
        <v>6.14247591252624</v>
      </c>
      <c r="R106" s="177" t="n">
        <f aca="false">R$3*$E106</f>
        <v>6.66816468760437</v>
      </c>
      <c r="S106" s="177" t="n">
        <f aca="false">S$3*$E106</f>
        <v>7.260945</v>
      </c>
      <c r="T106" s="177" t="n">
        <f aca="false">T$3*$E106</f>
        <v>7.85372531239563</v>
      </c>
      <c r="U106" s="177" t="n">
        <f aca="false">U$3*$E106</f>
        <v>8.37941408747376</v>
      </c>
      <c r="V106" s="177" t="n">
        <f aca="false">V$3*$E106</f>
        <v>8.79820553669724</v>
      </c>
      <c r="W106" s="177" t="n">
        <f aca="false">W$3*$E106</f>
        <v>9.10424275957208</v>
      </c>
      <c r="X106" s="177" t="n">
        <f aca="false">X$3*$E106</f>
        <v>9.31405861804377</v>
      </c>
      <c r="Y106" s="177" t="n">
        <f aca="false">Y$3*$E106</f>
        <v>9.45168889552047</v>
      </c>
      <c r="Z106" s="177" t="n">
        <f aca="false">Z$3*$E106</f>
        <v>9.53937033645806</v>
      </c>
      <c r="AA106" s="177" t="n">
        <f aca="false">AA$3*$E106</f>
        <v>9.5941954124712</v>
      </c>
      <c r="AB106" s="177" t="n">
        <f aca="false">AB$3*$E106</f>
        <v>9.62807627589407</v>
      </c>
      <c r="AC106" s="177" t="n">
        <f aca="false">AC$3*$E106</f>
        <v>9.64886238503038</v>
      </c>
      <c r="AD106" s="219" t="n">
        <f aca="false">Algae_electricity_factor/H106</f>
        <v>0.00283921661096371</v>
      </c>
      <c r="AE106" s="220" t="n">
        <f aca="false">Algae_electricity_factor/I106</f>
        <v>0.00283921661096371</v>
      </c>
      <c r="AF106" s="220" t="n">
        <f aca="false">Algae_electricity_factor/J106</f>
        <v>0.00283921661096371</v>
      </c>
      <c r="AG106" s="220" t="n">
        <f aca="false">Algae_electricity_factor/K106</f>
        <v>0.00283921661096371</v>
      </c>
      <c r="AH106" s="220" t="n">
        <f aca="false">Algae_electricity_factor/L106</f>
        <v>0.00283921661096371</v>
      </c>
      <c r="AI106" s="220" t="n">
        <f aca="false">Algae_electricity_factor/M106</f>
        <v>0.00271066113953287</v>
      </c>
      <c r="AJ106" s="220" t="n">
        <f aca="false">Algae_electricity_factor/N106</f>
        <v>0.00263902497902432</v>
      </c>
      <c r="AK106" s="220" t="n">
        <f aca="false">Algae_electricity_factor/O106</f>
        <v>0.00253682022723275</v>
      </c>
      <c r="AL106" s="220" t="n">
        <f aca="false">Algae_electricity_factor/P106</f>
        <v>0.00240118007756122</v>
      </c>
      <c r="AM106" s="220" t="n">
        <f aca="false">Algae_electricity_factor/Q106</f>
        <v>0.00223746862002376</v>
      </c>
      <c r="AN106" s="220" t="n">
        <f aca="false">Algae_electricity_factor/R106</f>
        <v>0.00206107643518127</v>
      </c>
      <c r="AO106" s="220" t="n">
        <f aca="false">Algae_electricity_factor/S106</f>
        <v>0.00189281107397581</v>
      </c>
      <c r="AP106" s="220" t="n">
        <f aca="false">Algae_electricity_factor/T106</f>
        <v>0.00174994624294251</v>
      </c>
      <c r="AQ106" s="220" t="n">
        <f aca="false">Algae_electricity_factor/U106</f>
        <v>0.00164016206384577</v>
      </c>
      <c r="AR106" s="220" t="n">
        <f aca="false">Algae_electricity_factor/V106</f>
        <v>0.00156209093390747</v>
      </c>
      <c r="AS106" s="220" t="n">
        <f aca="false">Algae_electricity_factor/W106</f>
        <v>0.00150958157273206</v>
      </c>
      <c r="AT106" s="220" t="n">
        <f aca="false">Algae_electricity_factor/X106</f>
        <v>0.00147557554307252</v>
      </c>
      <c r="AU106" s="220" t="n">
        <f aca="false">Algae_electricity_factor/Y106</f>
        <v>0.00145408902635834</v>
      </c>
      <c r="AV106" s="220" t="n">
        <f aca="false">Algae_electricity_factor/Z106</f>
        <v>0.00144072371852503</v>
      </c>
      <c r="AW106" s="220" t="n">
        <f aca="false">Algae_electricity_factor/AA106</f>
        <v>0.00143249084604472</v>
      </c>
      <c r="AX106" s="220" t="n">
        <f aca="false">Algae_electricity_factor/AB106</f>
        <v>0.00142744996089606</v>
      </c>
      <c r="AY106" s="220" t="n">
        <f aca="false">Algae_electricity_factor/AC106</f>
        <v>0.00142437486981384</v>
      </c>
      <c r="AZ106" s="221" t="n">
        <f aca="false">Algae_yield_cost_factor/H106</f>
        <v>0.157178429106587</v>
      </c>
      <c r="BA106" s="197" t="n">
        <f aca="false">Algae_yield_cost_factor/I106</f>
        <v>0.157178429106587</v>
      </c>
      <c r="BB106" s="197" t="n">
        <f aca="false">Algae_yield_cost_factor/J106</f>
        <v>0.157178429106587</v>
      </c>
      <c r="BC106" s="197" t="n">
        <f aca="false">Algae_yield_cost_factor/K106</f>
        <v>0.157178429106587</v>
      </c>
      <c r="BD106" s="197" t="n">
        <f aca="false">Algae_yield_cost_factor/L106</f>
        <v>0.157178429106587</v>
      </c>
      <c r="BE106" s="197" t="n">
        <f aca="false">Algae_yield_cost_factor/M106</f>
        <v>0.150061625487402</v>
      </c>
      <c r="BF106" s="197" t="n">
        <f aca="false">Algae_yield_cost_factor/N106</f>
        <v>0.146095862842706</v>
      </c>
      <c r="BG106" s="197" t="n">
        <f aca="false">Algae_yield_cost_factor/O106</f>
        <v>0.140437829471179</v>
      </c>
      <c r="BH106" s="197" t="n">
        <f aca="false">Algae_yield_cost_factor/P106</f>
        <v>0.132928819567944</v>
      </c>
      <c r="BI106" s="197" t="n">
        <f aca="false">Algae_yield_cost_factor/Q106</f>
        <v>0.12386578801793</v>
      </c>
      <c r="BJ106" s="197" t="n">
        <f aca="false">Algae_yield_cost_factor/R106</f>
        <v>0.114100754095136</v>
      </c>
      <c r="BK106" s="197" t="n">
        <f aca="false">Algae_yield_cost_factor/S106</f>
        <v>0.104785619404391</v>
      </c>
      <c r="BL106" s="197" t="n">
        <f aca="false">Algae_yield_cost_factor/T106</f>
        <v>0.0968766526740336</v>
      </c>
      <c r="BM106" s="197" t="n">
        <f aca="false">Algae_yield_cost_factor/U106</f>
        <v>0.0907990238152317</v>
      </c>
      <c r="BN106" s="197" t="n">
        <f aca="false">Algae_yield_cost_factor/V106</f>
        <v>0.0864770226283928</v>
      </c>
      <c r="BO106" s="197" t="n">
        <f aca="false">Algae_yield_cost_factor/W106</f>
        <v>0.0835701155361085</v>
      </c>
      <c r="BP106" s="197" t="n">
        <f aca="false">Algae_yield_cost_factor/X106</f>
        <v>0.0816875489501716</v>
      </c>
      <c r="BQ106" s="197" t="n">
        <f aca="false">Algae_yield_cost_factor/Y106</f>
        <v>0.0804980599442721</v>
      </c>
      <c r="BR106" s="197" t="n">
        <f aca="false">Algae_yield_cost_factor/Z106</f>
        <v>0.0797581593387133</v>
      </c>
      <c r="BS106" s="197" t="n">
        <f aca="false">Algae_yield_cost_factor/AA106</f>
        <v>0.0793023892652032</v>
      </c>
      <c r="BT106" s="197" t="n">
        <f aca="false">Algae_yield_cost_factor/AB106</f>
        <v>0.0790233269330394</v>
      </c>
      <c r="BU106" s="197" t="n">
        <f aca="false">Algae_yield_cost_factor/AC106</f>
        <v>0.078853090543256</v>
      </c>
    </row>
    <row r="107" customFormat="false" ht="15" hidden="false" customHeight="false" outlineLevel="0" collapsed="false">
      <c r="A107" s="18" t="s">
        <v>707</v>
      </c>
      <c r="B107" s="18" t="s">
        <v>22</v>
      </c>
      <c r="C107" s="18" t="s">
        <v>686</v>
      </c>
      <c r="D107" s="18" t="s">
        <v>686</v>
      </c>
      <c r="E107" s="28" t="n">
        <v>5.46113</v>
      </c>
      <c r="F107" s="185" t="n">
        <f aca="false">E107/$B$2*$F$3/1000</f>
        <v>0.0133797685</v>
      </c>
      <c r="G107" s="18" t="n">
        <f aca="false">LOOKUP(RIGHT(D107,5),Ref!$C$4:$C$21,Ref!$E$4:$E$21)*$G$3</f>
        <v>4.5</v>
      </c>
      <c r="H107" s="218" t="n">
        <f aca="false">$E107</f>
        <v>5.46113</v>
      </c>
      <c r="I107" s="177" t="n">
        <f aca="false">$E107</f>
        <v>5.46113</v>
      </c>
      <c r="J107" s="177" t="n">
        <f aca="false">$E107</f>
        <v>5.46113</v>
      </c>
      <c r="K107" s="177" t="n">
        <f aca="false">$E107</f>
        <v>5.46113</v>
      </c>
      <c r="L107" s="177" t="n">
        <f aca="false">$E107</f>
        <v>5.46113</v>
      </c>
      <c r="M107" s="177" t="n">
        <f aca="false">M$3*$E107</f>
        <v>5.72012885878621</v>
      </c>
      <c r="N107" s="177" t="n">
        <f aca="false">N$3*$E107</f>
        <v>5.87540138265941</v>
      </c>
      <c r="O107" s="177" t="n">
        <f aca="false">O$3*$E107</f>
        <v>6.11211265354265</v>
      </c>
      <c r="P107" s="177" t="n">
        <f aca="false">P$3*$E107</f>
        <v>6.45737950082461</v>
      </c>
      <c r="Q107" s="177" t="n">
        <f aca="false">Q$3*$E107</f>
        <v>6.92985406448632</v>
      </c>
      <c r="R107" s="177" t="n">
        <f aca="false">R$3*$E107</f>
        <v>7.52292867259362</v>
      </c>
      <c r="S107" s="177" t="n">
        <f aca="false">S$3*$E107</f>
        <v>8.191695</v>
      </c>
      <c r="T107" s="177" t="n">
        <f aca="false">T$3*$E107</f>
        <v>8.86046132740638</v>
      </c>
      <c r="U107" s="177" t="n">
        <f aca="false">U$3*$E107</f>
        <v>9.45353593551368</v>
      </c>
      <c r="V107" s="177" t="n">
        <f aca="false">V$3*$E107</f>
        <v>9.92601049917539</v>
      </c>
      <c r="W107" s="177" t="n">
        <f aca="false">W$3*$E107</f>
        <v>10.2712773464574</v>
      </c>
      <c r="X107" s="177" t="n">
        <f aca="false">X$3*$E107</f>
        <v>10.5079886173406</v>
      </c>
      <c r="Y107" s="177" t="n">
        <f aca="false">Y$3*$E107</f>
        <v>10.6632611412138</v>
      </c>
      <c r="Z107" s="177" t="n">
        <f aca="false">Z$3*$E107</f>
        <v>10.7621820972768</v>
      </c>
      <c r="AA107" s="177" t="n">
        <f aca="false">AA$3*$E107</f>
        <v>10.8240349691897</v>
      </c>
      <c r="AB107" s="177" t="n">
        <f aca="false">AB$3*$E107</f>
        <v>10.8622588779918</v>
      </c>
      <c r="AC107" s="177" t="n">
        <f aca="false">AC$3*$E107</f>
        <v>10.8857094710319</v>
      </c>
      <c r="AD107" s="219" t="n">
        <f aca="false">Algae_electricity_factor/H107</f>
        <v>0.00251662148740815</v>
      </c>
      <c r="AE107" s="220" t="n">
        <f aca="false">Algae_electricity_factor/I107</f>
        <v>0.00251662148740815</v>
      </c>
      <c r="AF107" s="220" t="n">
        <f aca="false">Algae_electricity_factor/J107</f>
        <v>0.00251662148740815</v>
      </c>
      <c r="AG107" s="220" t="n">
        <f aca="false">Algae_electricity_factor/K107</f>
        <v>0.00251662148740815</v>
      </c>
      <c r="AH107" s="220" t="n">
        <f aca="false">Algae_electricity_factor/L107</f>
        <v>0.00251662148740815</v>
      </c>
      <c r="AI107" s="220" t="n">
        <f aca="false">Algae_electricity_factor/M107</f>
        <v>0.00240267263951911</v>
      </c>
      <c r="AJ107" s="220" t="n">
        <f aca="false">Algae_electricity_factor/N107</f>
        <v>0.0023391758636426</v>
      </c>
      <c r="AK107" s="220" t="n">
        <f aca="false">Algae_electricity_factor/O107</f>
        <v>0.00224858373570116</v>
      </c>
      <c r="AL107" s="220" t="n">
        <f aca="false">Algae_electricity_factor/P107</f>
        <v>0.00212835517902799</v>
      </c>
      <c r="AM107" s="220" t="n">
        <f aca="false">Algae_electricity_factor/Q107</f>
        <v>0.00198324480943424</v>
      </c>
      <c r="AN107" s="220" t="n">
        <f aca="false">Algae_electricity_factor/R107</f>
        <v>0.00182689451165446</v>
      </c>
      <c r="AO107" s="220" t="n">
        <f aca="false">Algae_electricity_factor/S107</f>
        <v>0.0016777476582721</v>
      </c>
      <c r="AP107" s="220" t="n">
        <f aca="false">Algae_electricity_factor/T107</f>
        <v>0.00155111529701267</v>
      </c>
      <c r="AQ107" s="220" t="n">
        <f aca="false">Algae_electricity_factor/U107</f>
        <v>0.00145380492519199</v>
      </c>
      <c r="AR107" s="220" t="n">
        <f aca="false">Algae_electricity_factor/V107</f>
        <v>0.00138460432866468</v>
      </c>
      <c r="AS107" s="220" t="n">
        <f aca="false">Algae_electricity_factor/W107</f>
        <v>0.00133806114273309</v>
      </c>
      <c r="AT107" s="220" t="n">
        <f aca="false">Algae_electricity_factor/X107</f>
        <v>0.00130791891807431</v>
      </c>
      <c r="AU107" s="220" t="n">
        <f aca="false">Algae_electricity_factor/Y107</f>
        <v>0.00128887372460662</v>
      </c>
      <c r="AV107" s="220" t="n">
        <f aca="false">Algae_electricity_factor/Z107</f>
        <v>0.0012770269987354</v>
      </c>
      <c r="AW107" s="220" t="n">
        <f aca="false">Algae_electricity_factor/AA107</f>
        <v>0.00126972955488872</v>
      </c>
      <c r="AX107" s="220" t="n">
        <f aca="false">Algae_electricity_factor/AB107</f>
        <v>0.00126526142102684</v>
      </c>
      <c r="AY107" s="220" t="n">
        <f aca="false">Algae_electricity_factor/AC107</f>
        <v>0.00126253572540243</v>
      </c>
      <c r="AZ107" s="221" t="n">
        <f aca="false">Algae_yield_cost_factor/H107</f>
        <v>0.139319631520623</v>
      </c>
      <c r="BA107" s="197" t="n">
        <f aca="false">Algae_yield_cost_factor/I107</f>
        <v>0.139319631520623</v>
      </c>
      <c r="BB107" s="197" t="n">
        <f aca="false">Algae_yield_cost_factor/J107</f>
        <v>0.139319631520623</v>
      </c>
      <c r="BC107" s="197" t="n">
        <f aca="false">Algae_yield_cost_factor/K107</f>
        <v>0.139319631520623</v>
      </c>
      <c r="BD107" s="197" t="n">
        <f aca="false">Algae_yield_cost_factor/L107</f>
        <v>0.139319631520623</v>
      </c>
      <c r="BE107" s="197" t="n">
        <f aca="false">Algae_yield_cost_factor/M107</f>
        <v>0.133011447481214</v>
      </c>
      <c r="BF107" s="197" t="n">
        <f aca="false">Algae_yield_cost_factor/N107</f>
        <v>0.129496279442586</v>
      </c>
      <c r="BG107" s="197" t="n">
        <f aca="false">Algae_yield_cost_factor/O107</f>
        <v>0.124481118463225</v>
      </c>
      <c r="BH107" s="197" t="n">
        <f aca="false">Algae_yield_cost_factor/P107</f>
        <v>0.117825291078069</v>
      </c>
      <c r="BI107" s="197" t="n">
        <f aca="false">Algae_yield_cost_factor/Q107</f>
        <v>0.109792011809503</v>
      </c>
      <c r="BJ107" s="197" t="n">
        <f aca="false">Algae_yield_cost_factor/R107</f>
        <v>0.101136492501651</v>
      </c>
      <c r="BK107" s="197" t="n">
        <f aca="false">Algae_yield_cost_factor/S107</f>
        <v>0.0928797543470817</v>
      </c>
      <c r="BL107" s="197" t="n">
        <f aca="false">Algae_yield_cost_factor/T107</f>
        <v>0.0858694136989061</v>
      </c>
      <c r="BM107" s="197" t="n">
        <f aca="false">Algae_yield_cost_factor/U107</f>
        <v>0.0804823321639889</v>
      </c>
      <c r="BN107" s="197" t="n">
        <f aca="false">Algae_yield_cost_factor/V107</f>
        <v>0.0766514018244717</v>
      </c>
      <c r="BO107" s="197" t="n">
        <f aca="false">Algae_yield_cost_factor/W107</f>
        <v>0.0740747809276748</v>
      </c>
      <c r="BP107" s="197" t="n">
        <f aca="false">Algae_yield_cost_factor/X107</f>
        <v>0.0724061137666873</v>
      </c>
      <c r="BQ107" s="197" t="n">
        <f aca="false">Algae_yield_cost_factor/Y107</f>
        <v>0.0713517758976698</v>
      </c>
      <c r="BR107" s="197" t="n">
        <f aca="false">Algae_yield_cost_factor/Z107</f>
        <v>0.0706959436672916</v>
      </c>
      <c r="BS107" s="197" t="n">
        <f aca="false">Algae_yield_cost_factor/AA107</f>
        <v>0.0702919587244436</v>
      </c>
      <c r="BT107" s="197" t="n">
        <f aca="false">Algae_yield_cost_factor/AB107</f>
        <v>0.0700446037819789</v>
      </c>
      <c r="BU107" s="197" t="n">
        <f aca="false">Algae_yield_cost_factor/AC107</f>
        <v>0.0698937098505989</v>
      </c>
    </row>
    <row r="108" customFormat="false" ht="15" hidden="false" customHeight="false" outlineLevel="0" collapsed="false">
      <c r="A108" s="18" t="s">
        <v>708</v>
      </c>
      <c r="B108" s="18" t="s">
        <v>22</v>
      </c>
      <c r="C108" s="18" t="s">
        <v>690</v>
      </c>
      <c r="D108" s="18" t="s">
        <v>690</v>
      </c>
      <c r="E108" s="28" t="n">
        <v>5.686335</v>
      </c>
      <c r="F108" s="185" t="n">
        <f aca="false">E108/$B$2*$F$3/1000</f>
        <v>0.01393152075</v>
      </c>
      <c r="G108" s="18" t="n">
        <f aca="false">LOOKUP(RIGHT(D108,5),Ref!$C$4:$C$21,Ref!$E$4:$E$21)*$G$3</f>
        <v>1.5</v>
      </c>
      <c r="H108" s="218" t="n">
        <f aca="false">$E108</f>
        <v>5.686335</v>
      </c>
      <c r="I108" s="177" t="n">
        <f aca="false">$E108</f>
        <v>5.686335</v>
      </c>
      <c r="J108" s="177" t="n">
        <f aca="false">$E108</f>
        <v>5.686335</v>
      </c>
      <c r="K108" s="177" t="n">
        <f aca="false">$E108</f>
        <v>5.686335</v>
      </c>
      <c r="L108" s="177" t="n">
        <f aca="false">$E108</f>
        <v>5.686335</v>
      </c>
      <c r="M108" s="177" t="n">
        <f aca="false">M$3*$E108</f>
        <v>5.95601440255516</v>
      </c>
      <c r="N108" s="177" t="n">
        <f aca="false">N$3*$E108</f>
        <v>6.1176900240911</v>
      </c>
      <c r="O108" s="177" t="n">
        <f aca="false">O$3*$E108</f>
        <v>6.36416274759664</v>
      </c>
      <c r="P108" s="177" t="n">
        <f aca="false">P$3*$E108</f>
        <v>6.72366764091342</v>
      </c>
      <c r="Q108" s="177" t="n">
        <f aca="false">Q$3*$E108</f>
        <v>7.21562601728595</v>
      </c>
      <c r="R108" s="177" t="n">
        <f aca="false">R$3*$E108</f>
        <v>7.8331577189103</v>
      </c>
      <c r="S108" s="177" t="n">
        <f aca="false">S$3*$E108</f>
        <v>8.5295025</v>
      </c>
      <c r="T108" s="177" t="n">
        <f aca="false">T$3*$E108</f>
        <v>9.2258472810897</v>
      </c>
      <c r="U108" s="177" t="n">
        <f aca="false">U$3*$E108</f>
        <v>9.84337898271405</v>
      </c>
      <c r="V108" s="177" t="n">
        <f aca="false">V$3*$E108</f>
        <v>10.3353373590866</v>
      </c>
      <c r="W108" s="177" t="n">
        <f aca="false">W$3*$E108</f>
        <v>10.6948422524034</v>
      </c>
      <c r="X108" s="177" t="n">
        <f aca="false">X$3*$E108</f>
        <v>10.9413149759089</v>
      </c>
      <c r="Y108" s="177" t="n">
        <f aca="false">Y$3*$E108</f>
        <v>11.1029905974448</v>
      </c>
      <c r="Z108" s="177" t="n">
        <f aca="false">Z$3*$E108</f>
        <v>11.2059908363505</v>
      </c>
      <c r="AA108" s="177" t="n">
        <f aca="false">AA$3*$E108</f>
        <v>11.2703943847752</v>
      </c>
      <c r="AB108" s="177" t="n">
        <f aca="false">AB$3*$E108</f>
        <v>11.3101945635767</v>
      </c>
      <c r="AC108" s="177" t="n">
        <f aca="false">AC$3*$E108</f>
        <v>11.3346122075395</v>
      </c>
      <c r="AD108" s="219" t="n">
        <f aca="false">Algae_electricity_factor/H108</f>
        <v>0.00241695171028954</v>
      </c>
      <c r="AE108" s="220" t="n">
        <f aca="false">Algae_electricity_factor/I108</f>
        <v>0.00241695171028954</v>
      </c>
      <c r="AF108" s="220" t="n">
        <f aca="false">Algae_electricity_factor/J108</f>
        <v>0.00241695171028954</v>
      </c>
      <c r="AG108" s="220" t="n">
        <f aca="false">Algae_electricity_factor/K108</f>
        <v>0.00241695171028954</v>
      </c>
      <c r="AH108" s="220" t="n">
        <f aca="false">Algae_electricity_factor/L108</f>
        <v>0.00241695171028954</v>
      </c>
      <c r="AI108" s="220" t="n">
        <f aca="false">Algae_electricity_factor/M108</f>
        <v>0.00230751576047788</v>
      </c>
      <c r="AJ108" s="220" t="n">
        <f aca="false">Algae_electricity_factor/N108</f>
        <v>0.00224653374875285</v>
      </c>
      <c r="AK108" s="220" t="n">
        <f aca="false">Algae_electricity_factor/O108</f>
        <v>0.002159529485433</v>
      </c>
      <c r="AL108" s="220" t="n">
        <f aca="false">Algae_electricity_factor/P108</f>
        <v>0.00204406253216618</v>
      </c>
      <c r="AM108" s="220" t="n">
        <f aca="false">Algae_electricity_factor/Q108</f>
        <v>0.00190469920012549</v>
      </c>
      <c r="AN108" s="220" t="n">
        <f aca="false">Algae_electricity_factor/R108</f>
        <v>0.00175454109271289</v>
      </c>
      <c r="AO108" s="220" t="n">
        <f aca="false">Algae_electricity_factor/S108</f>
        <v>0.00161130114019303</v>
      </c>
      <c r="AP108" s="220" t="n">
        <f aca="false">Algae_electricity_factor/T108</f>
        <v>0.00148968400243299</v>
      </c>
      <c r="AQ108" s="220" t="n">
        <f aca="false">Algae_electricity_factor/U108</f>
        <v>0.00139622756856811</v>
      </c>
      <c r="AR108" s="220" t="n">
        <f aca="false">Algae_electricity_factor/V108</f>
        <v>0.0013297676337044</v>
      </c>
      <c r="AS108" s="220" t="n">
        <f aca="false">Algae_electricity_factor/W108</f>
        <v>0.00128506777184495</v>
      </c>
      <c r="AT108" s="220" t="n">
        <f aca="false">Algae_electricity_factor/X108</f>
        <v>0.00125611931781423</v>
      </c>
      <c r="AU108" s="220" t="n">
        <f aca="false">Algae_electricity_factor/Y108</f>
        <v>0.00123782840153824</v>
      </c>
      <c r="AV108" s="220" t="n">
        <f aca="false">Algae_electricity_factor/Z108</f>
        <v>0.00122645086045824</v>
      </c>
      <c r="AW108" s="220" t="n">
        <f aca="false">Algae_electricity_factor/AA108</f>
        <v>0.00121944242892645</v>
      </c>
      <c r="AX108" s="220" t="n">
        <f aca="false">Algae_electricity_factor/AB108</f>
        <v>0.00121515125370072</v>
      </c>
      <c r="AY108" s="220" t="n">
        <f aca="false">Algae_electricity_factor/AC108</f>
        <v>0.00121253350815014</v>
      </c>
      <c r="AZ108" s="221" t="n">
        <f aca="false">Algae_yield_cost_factor/H108</f>
        <v>0.133801933809073</v>
      </c>
      <c r="BA108" s="197" t="n">
        <f aca="false">Algae_yield_cost_factor/I108</f>
        <v>0.133801933809073</v>
      </c>
      <c r="BB108" s="197" t="n">
        <f aca="false">Algae_yield_cost_factor/J108</f>
        <v>0.133801933809073</v>
      </c>
      <c r="BC108" s="197" t="n">
        <f aca="false">Algae_yield_cost_factor/K108</f>
        <v>0.133801933809073</v>
      </c>
      <c r="BD108" s="197" t="n">
        <f aca="false">Algae_yield_cost_factor/L108</f>
        <v>0.133801933809073</v>
      </c>
      <c r="BE108" s="197" t="n">
        <f aca="false">Algae_yield_cost_factor/M108</f>
        <v>0.1277435828496</v>
      </c>
      <c r="BF108" s="197" t="n">
        <f aca="false">Algae_yield_cost_factor/N108</f>
        <v>0.124367631620769</v>
      </c>
      <c r="BG108" s="197" t="n">
        <f aca="false">Algae_yield_cost_factor/O108</f>
        <v>0.119551094065522</v>
      </c>
      <c r="BH108" s="197" t="n">
        <f aca="false">Algae_yield_cost_factor/P108</f>
        <v>0.113158868034538</v>
      </c>
      <c r="BI108" s="197" t="n">
        <f aca="false">Algae_yield_cost_factor/Q108</f>
        <v>0.1054437435454</v>
      </c>
      <c r="BJ108" s="197" t="n">
        <f aca="false">Algae_yield_cost_factor/R108</f>
        <v>0.097131022582303</v>
      </c>
      <c r="BK108" s="197" t="n">
        <f aca="false">Algae_yield_cost_factor/S108</f>
        <v>0.089201289206049</v>
      </c>
      <c r="BL108" s="197" t="n">
        <f aca="false">Algae_yield_cost_factor/T108</f>
        <v>0.082468590266579</v>
      </c>
      <c r="BM108" s="197" t="n">
        <f aca="false">Algae_yield_cost_factor/U108</f>
        <v>0.0772948619190964</v>
      </c>
      <c r="BN108" s="197" t="n">
        <f aca="false">Algae_yield_cost_factor/V108</f>
        <v>0.0736156540277133</v>
      </c>
      <c r="BO108" s="197" t="n">
        <f aca="false">Algae_yield_cost_factor/W108</f>
        <v>0.0711410791604</v>
      </c>
      <c r="BP108" s="197" t="n">
        <f aca="false">Algae_yield_cost_factor/X108</f>
        <v>0.0695384988880657</v>
      </c>
      <c r="BQ108" s="197" t="n">
        <f aca="false">Algae_yield_cost_factor/Y108</f>
        <v>0.0685259176443248</v>
      </c>
      <c r="BR108" s="197" t="n">
        <f aca="false">Algae_yield_cost_factor/Z108</f>
        <v>0.0678960593844288</v>
      </c>
      <c r="BS108" s="197" t="n">
        <f aca="false">Algae_yield_cost_factor/AA108</f>
        <v>0.0675080741020043</v>
      </c>
      <c r="BT108" s="197" t="n">
        <f aca="false">Algae_yield_cost_factor/AB108</f>
        <v>0.0672705155520873</v>
      </c>
      <c r="BU108" s="197" t="n">
        <f aca="false">Algae_yield_cost_factor/AC108</f>
        <v>0.067125597713888</v>
      </c>
    </row>
    <row r="109" customFormat="false" ht="15" hidden="false" customHeight="false" outlineLevel="0" collapsed="false">
      <c r="A109" s="18" t="s">
        <v>708</v>
      </c>
      <c r="B109" s="18" t="s">
        <v>22</v>
      </c>
      <c r="C109" s="18" t="s">
        <v>691</v>
      </c>
      <c r="D109" s="18" t="s">
        <v>691</v>
      </c>
      <c r="E109" s="28" t="n">
        <v>6.09988</v>
      </c>
      <c r="F109" s="185" t="n">
        <f aca="false">E109/$B$2*$F$3/1000</f>
        <v>0.014944706</v>
      </c>
      <c r="G109" s="18" t="n">
        <f aca="false">LOOKUP(RIGHT(D109,5),Ref!$C$4:$C$21,Ref!$E$4:$E$21)*$G$3</f>
        <v>2</v>
      </c>
      <c r="H109" s="218" t="n">
        <f aca="false">$E109</f>
        <v>6.09988</v>
      </c>
      <c r="I109" s="177" t="n">
        <f aca="false">$E109</f>
        <v>6.09988</v>
      </c>
      <c r="J109" s="177" t="n">
        <f aca="false">$E109</f>
        <v>6.09988</v>
      </c>
      <c r="K109" s="177" t="n">
        <f aca="false">$E109</f>
        <v>6.09988</v>
      </c>
      <c r="L109" s="177" t="n">
        <f aca="false">$E109</f>
        <v>6.09988</v>
      </c>
      <c r="M109" s="177" t="n">
        <f aca="false">M$3*$E109</f>
        <v>6.38917213527838</v>
      </c>
      <c r="N109" s="177" t="n">
        <f aca="false">N$3*$E109</f>
        <v>6.56260579514798</v>
      </c>
      <c r="O109" s="177" t="n">
        <f aca="false">O$3*$E109</f>
        <v>6.82700351998428</v>
      </c>
      <c r="P109" s="177" t="n">
        <f aca="false">P$3*$E109</f>
        <v>7.21265380415592</v>
      </c>
      <c r="Q109" s="177" t="n">
        <f aca="false">Q$3*$E109</f>
        <v>7.74039039738641</v>
      </c>
      <c r="R109" s="177" t="n">
        <f aca="false">R$3*$E109</f>
        <v>8.40283277478843</v>
      </c>
      <c r="S109" s="177" t="n">
        <f aca="false">S$3*$E109</f>
        <v>9.14982</v>
      </c>
      <c r="T109" s="177" t="n">
        <f aca="false">T$3*$E109</f>
        <v>9.89680722521157</v>
      </c>
      <c r="U109" s="177" t="n">
        <f aca="false">U$3*$E109</f>
        <v>10.5592496026136</v>
      </c>
      <c r="V109" s="177" t="n">
        <f aca="false">V$3*$E109</f>
        <v>11.0869861958441</v>
      </c>
      <c r="W109" s="177" t="n">
        <f aca="false">W$3*$E109</f>
        <v>11.4726364800157</v>
      </c>
      <c r="X109" s="177" t="n">
        <f aca="false">X$3*$E109</f>
        <v>11.737034204852</v>
      </c>
      <c r="Y109" s="177" t="n">
        <f aca="false">Y$3*$E109</f>
        <v>11.9104678647216</v>
      </c>
      <c r="Z109" s="177" t="n">
        <f aca="false">Z$3*$E109</f>
        <v>12.0209589098844</v>
      </c>
      <c r="AA109" s="177" t="n">
        <f aca="false">AA$3*$E109</f>
        <v>12.0900462775764</v>
      </c>
      <c r="AB109" s="177" t="n">
        <f aca="false">AB$3*$E109</f>
        <v>12.1327409683865</v>
      </c>
      <c r="AC109" s="177" t="n">
        <f aca="false">AC$3*$E109</f>
        <v>12.158934412504</v>
      </c>
      <c r="AD109" s="219" t="n">
        <f aca="false">Algae_electricity_factor/H109</f>
        <v>0.00225309302863815</v>
      </c>
      <c r="AE109" s="220" t="n">
        <f aca="false">Algae_electricity_factor/I109</f>
        <v>0.00225309302863815</v>
      </c>
      <c r="AF109" s="220" t="n">
        <f aca="false">Algae_electricity_factor/J109</f>
        <v>0.00225309302863815</v>
      </c>
      <c r="AG109" s="220" t="n">
        <f aca="false">Algae_electricity_factor/K109</f>
        <v>0.00225309302863815</v>
      </c>
      <c r="AH109" s="220" t="n">
        <f aca="false">Algae_electricity_factor/L109</f>
        <v>0.00225309302863815</v>
      </c>
      <c r="AI109" s="220" t="n">
        <f aca="false">Algae_electricity_factor/M109</f>
        <v>0.00215107635426549</v>
      </c>
      <c r="AJ109" s="220" t="n">
        <f aca="false">Algae_electricity_factor/N109</f>
        <v>0.00209422865436935</v>
      </c>
      <c r="AK109" s="220" t="n">
        <f aca="false">Algae_electricity_factor/O109</f>
        <v>0.00201312289693399</v>
      </c>
      <c r="AL109" s="220" t="n">
        <f aca="false">Algae_electricity_factor/P109</f>
        <v>0.00190548409457975</v>
      </c>
      <c r="AM109" s="220" t="n">
        <f aca="false">Algae_electricity_factor/Q109</f>
        <v>0.00177556898269238</v>
      </c>
      <c r="AN109" s="220" t="n">
        <f aca="false">Algae_electricity_factor/R109</f>
        <v>0.00163559093366288</v>
      </c>
      <c r="AO109" s="220" t="n">
        <f aca="false">Algae_electricity_factor/S109</f>
        <v>0.0015020620190921</v>
      </c>
      <c r="AP109" s="220" t="n">
        <f aca="false">Algae_electricity_factor/T109</f>
        <v>0.00138868998766776</v>
      </c>
      <c r="AQ109" s="220" t="n">
        <f aca="false">Algae_electricity_factor/U109</f>
        <v>0.00130156948843481</v>
      </c>
      <c r="AR109" s="220" t="n">
        <f aca="false">Algae_electricity_factor/V109</f>
        <v>0.00123961524446391</v>
      </c>
      <c r="AS109" s="220" t="n">
        <f aca="false">Algae_electricity_factor/W109</f>
        <v>0.0011979458363794</v>
      </c>
      <c r="AT109" s="220" t="n">
        <f aca="false">Algae_electricity_factor/X109</f>
        <v>0.00117095996004235</v>
      </c>
      <c r="AU109" s="220" t="n">
        <f aca="false">Algae_electricity_factor/Y109</f>
        <v>0.0011539090873363</v>
      </c>
      <c r="AV109" s="220" t="n">
        <f aca="false">Algae_electricity_factor/Z109</f>
        <v>0.0011433028934346</v>
      </c>
      <c r="AW109" s="220" t="n">
        <f aca="false">Algae_electricity_factor/AA109</f>
        <v>0.00113676960269537</v>
      </c>
      <c r="AX109" s="220" t="n">
        <f aca="false">Algae_electricity_factor/AB109</f>
        <v>0.00113276935025153</v>
      </c>
      <c r="AY109" s="220" t="n">
        <f aca="false">Algae_electricity_factor/AC109</f>
        <v>0.00113032907632067</v>
      </c>
      <c r="AZ109" s="221" t="n">
        <f aca="false">Algae_yield_cost_factor/H109</f>
        <v>0.124730751963353</v>
      </c>
      <c r="BA109" s="197" t="n">
        <f aca="false">Algae_yield_cost_factor/I109</f>
        <v>0.124730751963353</v>
      </c>
      <c r="BB109" s="197" t="n">
        <f aca="false">Algae_yield_cost_factor/J109</f>
        <v>0.124730751963353</v>
      </c>
      <c r="BC109" s="197" t="n">
        <f aca="false">Algae_yield_cost_factor/K109</f>
        <v>0.124730751963353</v>
      </c>
      <c r="BD109" s="197" t="n">
        <f aca="false">Algae_yield_cost_factor/L109</f>
        <v>0.124730751963353</v>
      </c>
      <c r="BE109" s="197" t="n">
        <f aca="false">Algae_yield_cost_factor/M109</f>
        <v>0.119083130517827</v>
      </c>
      <c r="BF109" s="197" t="n">
        <f aca="false">Algae_yield_cost_factor/N109</f>
        <v>0.11593605391455</v>
      </c>
      <c r="BG109" s="197" t="n">
        <f aca="false">Algae_yield_cost_factor/O109</f>
        <v>0.111446056393416</v>
      </c>
      <c r="BH109" s="197" t="n">
        <f aca="false">Algae_yield_cost_factor/P109</f>
        <v>0.105487195135835</v>
      </c>
      <c r="BI109" s="197" t="n">
        <f aca="false">Algae_yield_cost_factor/Q109</f>
        <v>0.0982951221094896</v>
      </c>
      <c r="BJ109" s="197" t="n">
        <f aca="false">Algae_yield_cost_factor/R109</f>
        <v>0.0905459670182922</v>
      </c>
      <c r="BK109" s="197" t="n">
        <f aca="false">Algae_yield_cost_factor/S109</f>
        <v>0.0831538346422354</v>
      </c>
      <c r="BL109" s="197" t="n">
        <f aca="false">Algae_yield_cost_factor/T109</f>
        <v>0.0768775830399135</v>
      </c>
      <c r="BM109" s="197" t="n">
        <f aca="false">Algae_yield_cost_factor/U109</f>
        <v>0.0720546106891816</v>
      </c>
      <c r="BN109" s="197" t="n">
        <f aca="false">Algae_yield_cost_factor/V109</f>
        <v>0.0686248368895252</v>
      </c>
      <c r="BO109" s="197" t="n">
        <f aca="false">Algae_yield_cost_factor/W109</f>
        <v>0.0663180273001359</v>
      </c>
      <c r="BP109" s="197" t="n">
        <f aca="false">Algae_yield_cost_factor/X109</f>
        <v>0.0648240949124686</v>
      </c>
      <c r="BQ109" s="197" t="n">
        <f aca="false">Algae_yield_cost_factor/Y109</f>
        <v>0.0638801622176242</v>
      </c>
      <c r="BR109" s="197" t="n">
        <f aca="false">Algae_yield_cost_factor/Z109</f>
        <v>0.0632930055738401</v>
      </c>
      <c r="BS109" s="197" t="n">
        <f aca="false">Algae_yield_cost_factor/AA109</f>
        <v>0.0629313239848686</v>
      </c>
      <c r="BT109" s="197" t="n">
        <f aca="false">Algae_yield_cost_factor/AB109</f>
        <v>0.0627098708584232</v>
      </c>
      <c r="BU109" s="197" t="n">
        <f aca="false">Algae_yield_cost_factor/AC109</f>
        <v>0.0625747778114326</v>
      </c>
    </row>
    <row r="110" customFormat="false" ht="15" hidden="false" customHeight="false" outlineLevel="0" collapsed="false">
      <c r="A110" s="18" t="s">
        <v>708</v>
      </c>
      <c r="B110" s="18" t="s">
        <v>22</v>
      </c>
      <c r="C110" s="18" t="s">
        <v>692</v>
      </c>
      <c r="D110" s="18" t="s">
        <v>692</v>
      </c>
      <c r="E110" s="28" t="n">
        <v>5.834525</v>
      </c>
      <c r="F110" s="185" t="n">
        <f aca="false">E110/$B$2*$F$3/1000</f>
        <v>0.01429458625</v>
      </c>
      <c r="G110" s="18" t="n">
        <f aca="false">LOOKUP(RIGHT(D110,5),Ref!$C$4:$C$21,Ref!$E$4:$E$21)*$G$3</f>
        <v>2.5</v>
      </c>
      <c r="H110" s="218" t="n">
        <f aca="false">$E110</f>
        <v>5.834525</v>
      </c>
      <c r="I110" s="177" t="n">
        <f aca="false">$E110</f>
        <v>5.834525</v>
      </c>
      <c r="J110" s="177" t="n">
        <f aca="false">$E110</f>
        <v>5.834525</v>
      </c>
      <c r="K110" s="177" t="n">
        <f aca="false">$E110</f>
        <v>5.834525</v>
      </c>
      <c r="L110" s="177" t="n">
        <f aca="false">$E110</f>
        <v>5.834525</v>
      </c>
      <c r="M110" s="177" t="n">
        <f aca="false">M$3*$E110</f>
        <v>6.11123244270134</v>
      </c>
      <c r="N110" s="177" t="n">
        <f aca="false">N$3*$E110</f>
        <v>6.27712144778845</v>
      </c>
      <c r="O110" s="177" t="n">
        <f aca="false">O$3*$E110</f>
        <v>6.5300174286111</v>
      </c>
      <c r="P110" s="177" t="n">
        <f aca="false">P$3*$E110</f>
        <v>6.89889127928628</v>
      </c>
      <c r="Q110" s="177" t="n">
        <f aca="false">Q$3*$E110</f>
        <v>7.40367044651877</v>
      </c>
      <c r="R110" s="177" t="n">
        <f aca="false">R$3*$E110</f>
        <v>8.0372954706195</v>
      </c>
      <c r="S110" s="177" t="n">
        <f aca="false">S$3*$E110</f>
        <v>8.7517875</v>
      </c>
      <c r="T110" s="177" t="n">
        <f aca="false">T$3*$E110</f>
        <v>9.4662795293805</v>
      </c>
      <c r="U110" s="177" t="n">
        <f aca="false">U$3*$E110</f>
        <v>10.0999045534812</v>
      </c>
      <c r="V110" s="177" t="n">
        <f aca="false">V$3*$E110</f>
        <v>10.6046837207137</v>
      </c>
      <c r="W110" s="177" t="n">
        <f aca="false">W$3*$E110</f>
        <v>10.9735575713889</v>
      </c>
      <c r="X110" s="177" t="n">
        <f aca="false">X$3*$E110</f>
        <v>11.2264535522116</v>
      </c>
      <c r="Y110" s="177" t="n">
        <f aca="false">Y$3*$E110</f>
        <v>11.3923425572987</v>
      </c>
      <c r="Z110" s="177" t="n">
        <f aca="false">Z$3*$E110</f>
        <v>11.4980270568754</v>
      </c>
      <c r="AA110" s="177" t="n">
        <f aca="false">AA$3*$E110</f>
        <v>11.5641090083209</v>
      </c>
      <c r="AB110" s="177" t="n">
        <f aca="false">AB$3*$E110</f>
        <v>11.6049464085482</v>
      </c>
      <c r="AC110" s="177" t="n">
        <f aca="false">AC$3*$E110</f>
        <v>11.630000393961</v>
      </c>
      <c r="AD110" s="219" t="n">
        <f aca="false">Algae_electricity_factor/H110</f>
        <v>0.00235556400967161</v>
      </c>
      <c r="AE110" s="220" t="n">
        <f aca="false">Algae_electricity_factor/I110</f>
        <v>0.00235556400967161</v>
      </c>
      <c r="AF110" s="220" t="n">
        <f aca="false">Algae_electricity_factor/J110</f>
        <v>0.00235556400967161</v>
      </c>
      <c r="AG110" s="220" t="n">
        <f aca="false">Algae_electricity_factor/K110</f>
        <v>0.00235556400967161</v>
      </c>
      <c r="AH110" s="220" t="n">
        <f aca="false">Algae_electricity_factor/L110</f>
        <v>0.00235556400967161</v>
      </c>
      <c r="AI110" s="220" t="n">
        <f aca="false">Algae_electricity_factor/M110</f>
        <v>0.00224890760290803</v>
      </c>
      <c r="AJ110" s="220" t="n">
        <f aca="false">Algae_electricity_factor/N110</f>
        <v>0.00218947446179672</v>
      </c>
      <c r="AK110" s="220" t="n">
        <f aca="false">Algae_electricity_factor/O110</f>
        <v>0.00210468000335069</v>
      </c>
      <c r="AL110" s="220" t="n">
        <f aca="false">Algae_electricity_factor/P110</f>
        <v>0.00199214577345116</v>
      </c>
      <c r="AM110" s="220" t="n">
        <f aca="false">Algae_electricity_factor/Q110</f>
        <v>0.00185632210439506</v>
      </c>
      <c r="AN110" s="220" t="n">
        <f aca="false">Algae_electricity_factor/R110</f>
        <v>0.00170997783443066</v>
      </c>
      <c r="AO110" s="220" t="n">
        <f aca="false">Algae_electricity_factor/S110</f>
        <v>0.00157037600644774</v>
      </c>
      <c r="AP110" s="220" t="n">
        <f aca="false">Algae_electricity_factor/T110</f>
        <v>0.00145184779943094</v>
      </c>
      <c r="AQ110" s="220" t="n">
        <f aca="false">Algae_electricity_factor/U110</f>
        <v>0.00136076504790257</v>
      </c>
      <c r="AR110" s="220" t="n">
        <f aca="false">Algae_electricity_factor/V110</f>
        <v>0.00129599311638917</v>
      </c>
      <c r="AS110" s="220" t="n">
        <f aca="false">Algae_electricity_factor/W110</f>
        <v>0.00125242857789006</v>
      </c>
      <c r="AT110" s="220" t="n">
        <f aca="false">Algae_electricity_factor/X110</f>
        <v>0.00122421538018316</v>
      </c>
      <c r="AU110" s="220" t="n">
        <f aca="false">Algae_electricity_factor/Y110</f>
        <v>0.00120638903143974</v>
      </c>
      <c r="AV110" s="220" t="n">
        <f aca="false">Algae_electricity_factor/Z110</f>
        <v>0.00119530046637967</v>
      </c>
      <c r="AW110" s="220" t="n">
        <f aca="false">Algae_electricity_factor/AA110</f>
        <v>0.00118847004067845</v>
      </c>
      <c r="AX110" s="220" t="n">
        <f aca="false">Algae_electricity_factor/AB110</f>
        <v>0.00118428785620291</v>
      </c>
      <c r="AY110" s="220" t="n">
        <f aca="false">Algae_electricity_factor/AC110</f>
        <v>0.00118173659827783</v>
      </c>
      <c r="AZ110" s="221" t="n">
        <f aca="false">Algae_yield_cost_factor/H110</f>
        <v>0.130403523729218</v>
      </c>
      <c r="BA110" s="197" t="n">
        <f aca="false">Algae_yield_cost_factor/I110</f>
        <v>0.130403523729218</v>
      </c>
      <c r="BB110" s="197" t="n">
        <f aca="false">Algae_yield_cost_factor/J110</f>
        <v>0.130403523729218</v>
      </c>
      <c r="BC110" s="197" t="n">
        <f aca="false">Algae_yield_cost_factor/K110</f>
        <v>0.130403523729218</v>
      </c>
      <c r="BD110" s="197" t="n">
        <f aca="false">Algae_yield_cost_factor/L110</f>
        <v>0.130403523729218</v>
      </c>
      <c r="BE110" s="197" t="n">
        <f aca="false">Algae_yield_cost_factor/M110</f>
        <v>0.124499047683073</v>
      </c>
      <c r="BF110" s="197" t="n">
        <f aca="false">Algae_yield_cost_factor/N110</f>
        <v>0.121208841602751</v>
      </c>
      <c r="BG110" s="197" t="n">
        <f aca="false">Algae_yield_cost_factor/O110</f>
        <v>0.116514638376401</v>
      </c>
      <c r="BH110" s="197" t="n">
        <f aca="false">Algae_yield_cost_factor/P110</f>
        <v>0.110284767288713</v>
      </c>
      <c r="BI110" s="197" t="n">
        <f aca="false">Algae_yield_cost_factor/Q110</f>
        <v>0.102765597791291</v>
      </c>
      <c r="BJ110" s="197" t="n">
        <f aca="false">Algae_yield_cost_factor/R110</f>
        <v>0.0946640100600374</v>
      </c>
      <c r="BK110" s="197" t="n">
        <f aca="false">Algae_yield_cost_factor/S110</f>
        <v>0.0869356824861456</v>
      </c>
      <c r="BL110" s="197" t="n">
        <f aca="false">Algae_yield_cost_factor/T110</f>
        <v>0.0803739860971557</v>
      </c>
      <c r="BM110" s="197" t="n">
        <f aca="false">Algae_yield_cost_factor/U110</f>
        <v>0.0753316643001315</v>
      </c>
      <c r="BN110" s="197" t="n">
        <f aca="false">Algae_yield_cost_factor/V110</f>
        <v>0.0717459039160304</v>
      </c>
      <c r="BO110" s="197" t="n">
        <f aca="false">Algae_yield_cost_factor/W110</f>
        <v>0.0693341803090317</v>
      </c>
      <c r="BP110" s="197" t="n">
        <f aca="false">Algae_yield_cost_factor/X110</f>
        <v>0.0677723036707648</v>
      </c>
      <c r="BQ110" s="197" t="n">
        <f aca="false">Algae_yield_cost_factor/Y110</f>
        <v>0.0667854407870464</v>
      </c>
      <c r="BR110" s="197" t="n">
        <f aca="false">Algae_yield_cost_factor/Z110</f>
        <v>0.0661715801782932</v>
      </c>
      <c r="BS110" s="197" t="n">
        <f aca="false">Algae_yield_cost_factor/AA110</f>
        <v>0.0657934492608774</v>
      </c>
      <c r="BT110" s="197" t="n">
        <f aca="false">Algae_yield_cost_factor/AB110</f>
        <v>0.0655619244157628</v>
      </c>
      <c r="BU110" s="197" t="n">
        <f aca="false">Algae_yield_cost_factor/AC110</f>
        <v>0.0654206873184023</v>
      </c>
    </row>
    <row r="111" customFormat="false" ht="15" hidden="false" customHeight="false" outlineLevel="0" collapsed="false">
      <c r="A111" s="18" t="s">
        <v>708</v>
      </c>
      <c r="B111" s="18" t="s">
        <v>22</v>
      </c>
      <c r="C111" s="18" t="s">
        <v>693</v>
      </c>
      <c r="D111" s="18" t="s">
        <v>693</v>
      </c>
      <c r="E111" s="28" t="n">
        <v>5.98746</v>
      </c>
      <c r="F111" s="185" t="n">
        <f aca="false">E111/$B$2*$F$3/1000</f>
        <v>0.014669277</v>
      </c>
      <c r="G111" s="18" t="n">
        <f aca="false">LOOKUP(RIGHT(D111,5),Ref!$C$4:$C$21,Ref!$E$4:$E$21)*$G$3</f>
        <v>3</v>
      </c>
      <c r="H111" s="218" t="n">
        <f aca="false">$E111</f>
        <v>5.98746</v>
      </c>
      <c r="I111" s="177" t="n">
        <f aca="false">$E111</f>
        <v>5.98746</v>
      </c>
      <c r="J111" s="177" t="n">
        <f aca="false">$E111</f>
        <v>5.98746</v>
      </c>
      <c r="K111" s="177" t="n">
        <f aca="false">$E111</f>
        <v>5.98746</v>
      </c>
      <c r="L111" s="177" t="n">
        <f aca="false">$E111</f>
        <v>5.98746</v>
      </c>
      <c r="M111" s="177" t="n">
        <f aca="false">M$3*$E111</f>
        <v>6.27142051861575</v>
      </c>
      <c r="N111" s="177" t="n">
        <f aca="false">N$3*$E111</f>
        <v>6.44165781854999</v>
      </c>
      <c r="O111" s="177" t="n">
        <f aca="false">O$3*$E111</f>
        <v>6.70118272749055</v>
      </c>
      <c r="P111" s="177" t="n">
        <f aca="false">P$3*$E111</f>
        <v>7.07972552676961</v>
      </c>
      <c r="Q111" s="177" t="n">
        <f aca="false">Q$3*$E111</f>
        <v>7.59773600279599</v>
      </c>
      <c r="R111" s="177" t="n">
        <f aca="false">R$3*$E111</f>
        <v>8.24796965280214</v>
      </c>
      <c r="S111" s="177" t="n">
        <f aca="false">S$3*$E111</f>
        <v>8.98119</v>
      </c>
      <c r="T111" s="177" t="n">
        <f aca="false">T$3*$E111</f>
        <v>9.71441034719786</v>
      </c>
      <c r="U111" s="177" t="n">
        <f aca="false">U$3*$E111</f>
        <v>10.364643997204</v>
      </c>
      <c r="V111" s="177" t="n">
        <f aca="false">V$3*$E111</f>
        <v>10.8826544732304</v>
      </c>
      <c r="W111" s="177" t="n">
        <f aca="false">W$3*$E111</f>
        <v>11.2611972725094</v>
      </c>
      <c r="X111" s="177" t="n">
        <f aca="false">X$3*$E111</f>
        <v>11.52072218145</v>
      </c>
      <c r="Y111" s="177" t="n">
        <f aca="false">Y$3*$E111</f>
        <v>11.6909594813842</v>
      </c>
      <c r="Z111" s="177" t="n">
        <f aca="false">Z$3*$E111</f>
        <v>11.7994141908655</v>
      </c>
      <c r="AA111" s="177" t="n">
        <f aca="false">AA$3*$E111</f>
        <v>11.8672282873004</v>
      </c>
      <c r="AB111" s="177" t="n">
        <f aca="false">AB$3*$E111</f>
        <v>11.909136120477</v>
      </c>
      <c r="AC111" s="177" t="n">
        <f aca="false">AC$3*$E111</f>
        <v>11.9348468228049</v>
      </c>
      <c r="AD111" s="219" t="n">
        <f aca="false">Algae_electricity_factor/H111</f>
        <v>0.00229539689676912</v>
      </c>
      <c r="AE111" s="220" t="n">
        <f aca="false">Algae_electricity_factor/I111</f>
        <v>0.00229539689676912</v>
      </c>
      <c r="AF111" s="220" t="n">
        <f aca="false">Algae_electricity_factor/J111</f>
        <v>0.00229539689676912</v>
      </c>
      <c r="AG111" s="220" t="n">
        <f aca="false">Algae_electricity_factor/K111</f>
        <v>0.00229539689676912</v>
      </c>
      <c r="AH111" s="220" t="n">
        <f aca="false">Algae_electricity_factor/L111</f>
        <v>0.00229539689676912</v>
      </c>
      <c r="AI111" s="220" t="n">
        <f aca="false">Algae_electricity_factor/M111</f>
        <v>0.00219146476667184</v>
      </c>
      <c r="AJ111" s="220" t="n">
        <f aca="false">Algae_electricity_factor/N111</f>
        <v>0.00213354969957453</v>
      </c>
      <c r="AK111" s="220" t="n">
        <f aca="false">Algae_electricity_factor/O111</f>
        <v>0.00205092110787374</v>
      </c>
      <c r="AL111" s="220" t="n">
        <f aca="false">Algae_electricity_factor/P111</f>
        <v>0.00194126128923536</v>
      </c>
      <c r="AM111" s="220" t="n">
        <f aca="false">Algae_electricity_factor/Q111</f>
        <v>0.00180890690311845</v>
      </c>
      <c r="AN111" s="220" t="n">
        <f aca="false">Algae_electricity_factor/R111</f>
        <v>0.00166630063907425</v>
      </c>
      <c r="AO111" s="220" t="n">
        <f aca="false">Algae_electricity_factor/S111</f>
        <v>0.00153026459784608</v>
      </c>
      <c r="AP111" s="220" t="n">
        <f aca="false">Algae_electricity_factor/T111</f>
        <v>0.00141476390355423</v>
      </c>
      <c r="AQ111" s="220" t="n">
        <f aca="false">Algae_electricity_factor/U111</f>
        <v>0.00132600763781532</v>
      </c>
      <c r="AR111" s="220" t="n">
        <f aca="false">Algae_electricity_factor/V111</f>
        <v>0.0012628901466399</v>
      </c>
      <c r="AS111" s="220" t="n">
        <f aca="false">Algae_electricity_factor/W111</f>
        <v>0.00122043835756965</v>
      </c>
      <c r="AT111" s="220" t="n">
        <f aca="false">Algae_electricity_factor/X111</f>
        <v>0.0011929457968927</v>
      </c>
      <c r="AU111" s="220" t="n">
        <f aca="false">Algae_electricity_factor/Y111</f>
        <v>0.00117557477856402</v>
      </c>
      <c r="AV111" s="220" t="n">
        <f aca="false">Algae_electricity_factor/Z111</f>
        <v>0.00116476944373805</v>
      </c>
      <c r="AW111" s="220" t="n">
        <f aca="false">Algae_electricity_factor/AA111</f>
        <v>0.00115811348453091</v>
      </c>
      <c r="AX111" s="220" t="n">
        <f aca="false">Algae_electricity_factor/AB111</f>
        <v>0.00115403812371394</v>
      </c>
      <c r="AY111" s="220" t="n">
        <f aca="false">Algae_electricity_factor/AC111</f>
        <v>0.0011515520314235</v>
      </c>
      <c r="AZ111" s="221" t="n">
        <f aca="false">Algae_yield_cost_factor/H111</f>
        <v>0.127072685126284</v>
      </c>
      <c r="BA111" s="197" t="n">
        <f aca="false">Algae_yield_cost_factor/I111</f>
        <v>0.127072685126284</v>
      </c>
      <c r="BB111" s="197" t="n">
        <f aca="false">Algae_yield_cost_factor/J111</f>
        <v>0.127072685126284</v>
      </c>
      <c r="BC111" s="197" t="n">
        <f aca="false">Algae_yield_cost_factor/K111</f>
        <v>0.127072685126284</v>
      </c>
      <c r="BD111" s="197" t="n">
        <f aca="false">Algae_yield_cost_factor/L111</f>
        <v>0.127072685126284</v>
      </c>
      <c r="BE111" s="197" t="n">
        <f aca="false">Algae_yield_cost_factor/M111</f>
        <v>0.121319024458298</v>
      </c>
      <c r="BF111" s="197" t="n">
        <f aca="false">Algae_yield_cost_factor/N111</f>
        <v>0.118112858633258</v>
      </c>
      <c r="BG111" s="197" t="n">
        <f aca="false">Algae_yield_cost_factor/O111</f>
        <v>0.113538557330332</v>
      </c>
      <c r="BH111" s="197" t="n">
        <f aca="false">Algae_yield_cost_factor/P111</f>
        <v>0.107467813040117</v>
      </c>
      <c r="BI111" s="197" t="n">
        <f aca="false">Algae_yield_cost_factor/Q111</f>
        <v>0.100140702310034</v>
      </c>
      <c r="BJ111" s="197" t="n">
        <f aca="false">Algae_yield_cost_factor/R111</f>
        <v>0.0922460497933247</v>
      </c>
      <c r="BK111" s="197" t="n">
        <f aca="false">Algae_yield_cost_factor/S111</f>
        <v>0.0847151234175224</v>
      </c>
      <c r="BL111" s="197" t="n">
        <f aca="false">Algae_yield_cost_factor/T111</f>
        <v>0.0783210294905531</v>
      </c>
      <c r="BM111" s="197" t="n">
        <f aca="false">Algae_yield_cost_factor/U111</f>
        <v>0.0734075014531579</v>
      </c>
      <c r="BN111" s="197" t="n">
        <f aca="false">Algae_yield_cost_factor/V111</f>
        <v>0.0699133305350979</v>
      </c>
      <c r="BO111" s="197" t="n">
        <f aca="false">Algae_yield_cost_factor/W111</f>
        <v>0.0675632085003579</v>
      </c>
      <c r="BP111" s="197" t="n">
        <f aca="false">Algae_yield_cost_factor/X111</f>
        <v>0.0660412261751509</v>
      </c>
      <c r="BQ111" s="197" t="n">
        <f aca="false">Algae_yield_cost_factor/Y111</f>
        <v>0.0650795702865725</v>
      </c>
      <c r="BR111" s="197" t="n">
        <f aca="false">Algae_yield_cost_factor/Z111</f>
        <v>0.0644813892434782</v>
      </c>
      <c r="BS111" s="197" t="n">
        <f aca="false">Algae_yield_cost_factor/AA111</f>
        <v>0.0641129167541529</v>
      </c>
      <c r="BT111" s="197" t="n">
        <f aca="false">Algae_yield_cost_factor/AB111</f>
        <v>0.0638873056441093</v>
      </c>
      <c r="BU111" s="197" t="n">
        <f aca="false">Algae_yield_cost_factor/AC111</f>
        <v>0.0637496761024544</v>
      </c>
    </row>
    <row r="112" customFormat="false" ht="15" hidden="false" customHeight="false" outlineLevel="0" collapsed="false">
      <c r="A112" s="18" t="s">
        <v>708</v>
      </c>
      <c r="B112" s="18" t="s">
        <v>22</v>
      </c>
      <c r="C112" s="18" t="s">
        <v>694</v>
      </c>
      <c r="D112" s="18" t="s">
        <v>694</v>
      </c>
      <c r="E112" s="28" t="n">
        <v>6.107545</v>
      </c>
      <c r="F112" s="185" t="n">
        <f aca="false">E112/$B$2*$F$3/1000</f>
        <v>0.01496348525</v>
      </c>
      <c r="G112" s="18" t="n">
        <f aca="false">LOOKUP(RIGHT(D112,5),Ref!$C$4:$C$21,Ref!$E$4:$E$21)*$G$3</f>
        <v>3</v>
      </c>
      <c r="H112" s="218" t="n">
        <f aca="false">$E112</f>
        <v>6.107545</v>
      </c>
      <c r="I112" s="177" t="n">
        <f aca="false">$E112</f>
        <v>6.107545</v>
      </c>
      <c r="J112" s="177" t="n">
        <f aca="false">$E112</f>
        <v>6.107545</v>
      </c>
      <c r="K112" s="177" t="n">
        <f aca="false">$E112</f>
        <v>6.107545</v>
      </c>
      <c r="L112" s="177" t="n">
        <f aca="false">$E112</f>
        <v>6.107545</v>
      </c>
      <c r="M112" s="177" t="n">
        <f aca="false">M$3*$E112</f>
        <v>6.39720065459628</v>
      </c>
      <c r="N112" s="177" t="n">
        <f aca="false">N$3*$E112</f>
        <v>6.57085224809785</v>
      </c>
      <c r="O112" s="177" t="n">
        <f aca="false">O$3*$E112</f>
        <v>6.83558221038157</v>
      </c>
      <c r="P112" s="177" t="n">
        <f aca="false">P$3*$E112</f>
        <v>7.22171709579589</v>
      </c>
      <c r="Q112" s="177" t="n">
        <f aca="false">Q$3*$E112</f>
        <v>7.75011683338121</v>
      </c>
      <c r="R112" s="177" t="n">
        <f aca="false">R$3*$E112</f>
        <v>8.41339162401477</v>
      </c>
      <c r="S112" s="177" t="n">
        <f aca="false">S$3*$E112</f>
        <v>9.1613175</v>
      </c>
      <c r="T112" s="177" t="n">
        <f aca="false">T$3*$E112</f>
        <v>9.90924337598523</v>
      </c>
      <c r="U112" s="177" t="n">
        <f aca="false">U$3*$E112</f>
        <v>10.5725181666188</v>
      </c>
      <c r="V112" s="177" t="n">
        <f aca="false">V$3*$E112</f>
        <v>11.1009179042041</v>
      </c>
      <c r="W112" s="177" t="n">
        <f aca="false">W$3*$E112</f>
        <v>11.4870527896184</v>
      </c>
      <c r="X112" s="177" t="n">
        <f aca="false">X$3*$E112</f>
        <v>11.7517827519022</v>
      </c>
      <c r="Y112" s="177" t="n">
        <f aca="false">Y$3*$E112</f>
        <v>11.9254343454037</v>
      </c>
      <c r="Z112" s="177" t="n">
        <f aca="false">Z$3*$E112</f>
        <v>12.0360642316357</v>
      </c>
      <c r="AA112" s="177" t="n">
        <f aca="false">AA$3*$E112</f>
        <v>12.1052384132771</v>
      </c>
      <c r="AB112" s="177" t="n">
        <f aca="false">AB$3*$E112</f>
        <v>12.1479867534712</v>
      </c>
      <c r="AC112" s="177" t="n">
        <f aca="false">AC$3*$E112</f>
        <v>12.1742131118016</v>
      </c>
      <c r="AD112" s="219" t="n">
        <f aca="false">Algae_electricity_factor/H112</f>
        <v>0.00225026538544198</v>
      </c>
      <c r="AE112" s="220" t="n">
        <f aca="false">Algae_electricity_factor/I112</f>
        <v>0.00225026538544198</v>
      </c>
      <c r="AF112" s="220" t="n">
        <f aca="false">Algae_electricity_factor/J112</f>
        <v>0.00225026538544198</v>
      </c>
      <c r="AG112" s="220" t="n">
        <f aca="false">Algae_electricity_factor/K112</f>
        <v>0.00225026538544198</v>
      </c>
      <c r="AH112" s="220" t="n">
        <f aca="false">Algae_electricity_factor/L112</f>
        <v>0.00225026538544198</v>
      </c>
      <c r="AI112" s="220" t="n">
        <f aca="false">Algae_electricity_factor/M112</f>
        <v>0.00214837674251389</v>
      </c>
      <c r="AJ112" s="220" t="n">
        <f aca="false">Algae_electricity_factor/N112</f>
        <v>0.00209160038676989</v>
      </c>
      <c r="AK112" s="220" t="n">
        <f aca="false">Algae_electricity_factor/O112</f>
        <v>0.00201059641747211</v>
      </c>
      <c r="AL112" s="220" t="n">
        <f aca="false">Algae_electricity_factor/P112</f>
        <v>0.00190309270236161</v>
      </c>
      <c r="AM112" s="220" t="n">
        <f aca="false">Algae_electricity_factor/Q112</f>
        <v>0.0017733406345996</v>
      </c>
      <c r="AN112" s="220" t="n">
        <f aca="false">Algae_electricity_factor/R112</f>
        <v>0.00163353825873269</v>
      </c>
      <c r="AO112" s="220" t="n">
        <f aca="false">Algae_electricity_factor/S112</f>
        <v>0.00150017692362799</v>
      </c>
      <c r="AP112" s="220" t="n">
        <f aca="false">Algae_electricity_factor/T112</f>
        <v>0.00138694717467899</v>
      </c>
      <c r="AQ112" s="220" t="n">
        <f aca="false">Algae_electricity_factor/U112</f>
        <v>0.00129993601211514</v>
      </c>
      <c r="AR112" s="220" t="n">
        <f aca="false">Algae_electricity_factor/V112</f>
        <v>0.00123805952103513</v>
      </c>
      <c r="AS112" s="220" t="n">
        <f aca="false">Algae_electricity_factor/W112</f>
        <v>0.00119644240826944</v>
      </c>
      <c r="AT112" s="220" t="n">
        <f aca="false">Algae_electricity_factor/X112</f>
        <v>0.00116949039934428</v>
      </c>
      <c r="AU112" s="220" t="n">
        <f aca="false">Algae_electricity_factor/Y112</f>
        <v>0.00115246092557009</v>
      </c>
      <c r="AV112" s="220" t="n">
        <f aca="false">Algae_electricity_factor/Z112</f>
        <v>0.00114186804249561</v>
      </c>
      <c r="AW112" s="220" t="n">
        <f aca="false">Algae_electricity_factor/AA112</f>
        <v>0.00113534295106945</v>
      </c>
      <c r="AX112" s="220" t="n">
        <f aca="false">Algae_electricity_factor/AB112</f>
        <v>0.00113134771896274</v>
      </c>
      <c r="AY112" s="220" t="n">
        <f aca="false">Algae_electricity_factor/AC112</f>
        <v>0.00112891050758806</v>
      </c>
      <c r="AZ112" s="221" t="n">
        <f aca="false">Algae_yield_cost_factor/H112</f>
        <v>0.124574214236034</v>
      </c>
      <c r="BA112" s="197" t="n">
        <f aca="false">Algae_yield_cost_factor/I112</f>
        <v>0.124574214236034</v>
      </c>
      <c r="BB112" s="197" t="n">
        <f aca="false">Algae_yield_cost_factor/J112</f>
        <v>0.124574214236034</v>
      </c>
      <c r="BC112" s="197" t="n">
        <f aca="false">Algae_yield_cost_factor/K112</f>
        <v>0.124574214236034</v>
      </c>
      <c r="BD112" s="197" t="n">
        <f aca="false">Algae_yield_cost_factor/L112</f>
        <v>0.124574214236034</v>
      </c>
      <c r="BE112" s="197" t="n">
        <f aca="false">Algae_yield_cost_factor/M112</f>
        <v>0.118933680584111</v>
      </c>
      <c r="BF112" s="197" t="n">
        <f aca="false">Algae_yield_cost_factor/N112</f>
        <v>0.115790553577958</v>
      </c>
      <c r="BG112" s="197" t="n">
        <f aca="false">Algae_yield_cost_factor/O112</f>
        <v>0.111306191026521</v>
      </c>
      <c r="BH112" s="197" t="n">
        <f aca="false">Algae_yield_cost_factor/P112</f>
        <v>0.105354808170088</v>
      </c>
      <c r="BI112" s="197" t="n">
        <f aca="false">Algae_yield_cost_factor/Q112</f>
        <v>0.0981717612319244</v>
      </c>
      <c r="BJ112" s="197" t="n">
        <f aca="false">Algae_yield_cost_factor/R112</f>
        <v>0.0904323313697304</v>
      </c>
      <c r="BK112" s="197" t="n">
        <f aca="false">Algae_yield_cost_factor/S112</f>
        <v>0.083049476157356</v>
      </c>
      <c r="BL112" s="197" t="n">
        <f aca="false">Algae_yield_cost_factor/T112</f>
        <v>0.076781101282677</v>
      </c>
      <c r="BM112" s="197" t="n">
        <f aca="false">Algae_yield_cost_factor/U112</f>
        <v>0.0719641817867449</v>
      </c>
      <c r="BN112" s="197" t="n">
        <f aca="false">Algae_yield_cost_factor/V112</f>
        <v>0.0685387123706296</v>
      </c>
      <c r="BO112" s="197" t="n">
        <f aca="false">Algae_yield_cost_factor/W112</f>
        <v>0.0662347978389931</v>
      </c>
      <c r="BP112" s="197" t="n">
        <f aca="false">Algae_yield_cost_factor/X112</f>
        <v>0.0647427403440612</v>
      </c>
      <c r="BQ112" s="197" t="n">
        <f aca="false">Algae_yield_cost_factor/Y112</f>
        <v>0.0637999922895438</v>
      </c>
      <c r="BR112" s="197" t="n">
        <f aca="false">Algae_yield_cost_factor/Z112</f>
        <v>0.0632135725303303</v>
      </c>
      <c r="BS112" s="197" t="n">
        <f aca="false">Algae_yield_cost_factor/AA112</f>
        <v>0.0628523448535902</v>
      </c>
      <c r="BT112" s="197" t="n">
        <f aca="false">Algae_yield_cost_factor/AB112</f>
        <v>0.0626311696519434</v>
      </c>
      <c r="BU112" s="197" t="n">
        <f aca="false">Algae_yield_cost_factor/AC112</f>
        <v>0.062496246147413</v>
      </c>
    </row>
    <row r="113" customFormat="false" ht="15" hidden="false" customHeight="false" outlineLevel="0" collapsed="false">
      <c r="A113" s="18" t="s">
        <v>708</v>
      </c>
      <c r="B113" s="18" t="s">
        <v>22</v>
      </c>
      <c r="C113" s="18" t="s">
        <v>682</v>
      </c>
      <c r="D113" s="18" t="s">
        <v>682</v>
      </c>
      <c r="E113" s="28" t="n">
        <v>6.106231</v>
      </c>
      <c r="F113" s="185" t="n">
        <f aca="false">E113/$B$2*$F$3/1000</f>
        <v>0.01496026595</v>
      </c>
      <c r="G113" s="18" t="n">
        <f aca="false">LOOKUP(RIGHT(D113,5),Ref!$C$4:$C$21,Ref!$E$4:$E$21)*$G$3</f>
        <v>3</v>
      </c>
      <c r="H113" s="218" t="n">
        <f aca="false">$E113</f>
        <v>6.106231</v>
      </c>
      <c r="I113" s="177" t="n">
        <f aca="false">$E113</f>
        <v>6.106231</v>
      </c>
      <c r="J113" s="177" t="n">
        <f aca="false">$E113</f>
        <v>6.106231</v>
      </c>
      <c r="K113" s="177" t="n">
        <f aca="false">$E113</f>
        <v>6.106231</v>
      </c>
      <c r="L113" s="177" t="n">
        <f aca="false">$E113</f>
        <v>6.106231</v>
      </c>
      <c r="M113" s="177" t="n">
        <f aca="false">M$3*$E113</f>
        <v>6.39582433699893</v>
      </c>
      <c r="N113" s="177" t="n">
        <f aca="false">N$3*$E113</f>
        <v>6.5694385704493</v>
      </c>
      <c r="O113" s="177" t="n">
        <f aca="false">O$3*$E113</f>
        <v>6.83411157774204</v>
      </c>
      <c r="P113" s="177" t="n">
        <f aca="false">P$3*$E113</f>
        <v>7.22016338865761</v>
      </c>
      <c r="Q113" s="177" t="n">
        <f aca="false">Q$3*$E113</f>
        <v>7.74844944435353</v>
      </c>
      <c r="R113" s="177" t="n">
        <f aca="false">R$3*$E113</f>
        <v>8.41158153557597</v>
      </c>
      <c r="S113" s="177" t="n">
        <f aca="false">S$3*$E113</f>
        <v>9.1593465</v>
      </c>
      <c r="T113" s="177" t="n">
        <f aca="false">T$3*$E113</f>
        <v>9.90711146442403</v>
      </c>
      <c r="U113" s="177" t="n">
        <f aca="false">U$3*$E113</f>
        <v>10.5702435556465</v>
      </c>
      <c r="V113" s="177" t="n">
        <f aca="false">V$3*$E113</f>
        <v>11.0985296113424</v>
      </c>
      <c r="W113" s="177" t="n">
        <f aca="false">W$3*$E113</f>
        <v>11.484581422258</v>
      </c>
      <c r="X113" s="177" t="n">
        <f aca="false">X$3*$E113</f>
        <v>11.7492544295507</v>
      </c>
      <c r="Y113" s="177" t="n">
        <f aca="false">Y$3*$E113</f>
        <v>11.9228686630011</v>
      </c>
      <c r="Z113" s="177" t="n">
        <f aca="false">Z$3*$E113</f>
        <v>12.0334747479069</v>
      </c>
      <c r="AA113" s="177" t="n">
        <f aca="false">AA$3*$E113</f>
        <v>12.102634047157</v>
      </c>
      <c r="AB113" s="177" t="n">
        <f aca="false">AB$3*$E113</f>
        <v>12.1453731903139</v>
      </c>
      <c r="AC113" s="177" t="n">
        <f aca="false">AC$3*$E113</f>
        <v>12.1715939062078</v>
      </c>
      <c r="AD113" s="219" t="n">
        <f aca="false">Algae_electricity_factor/H113</f>
        <v>0.00225074962010596</v>
      </c>
      <c r="AE113" s="220" t="n">
        <f aca="false">Algae_electricity_factor/I113</f>
        <v>0.00225074962010596</v>
      </c>
      <c r="AF113" s="220" t="n">
        <f aca="false">Algae_electricity_factor/J113</f>
        <v>0.00225074962010596</v>
      </c>
      <c r="AG113" s="220" t="n">
        <f aca="false">Algae_electricity_factor/K113</f>
        <v>0.00225074962010596</v>
      </c>
      <c r="AH113" s="220" t="n">
        <f aca="false">Algae_electricity_factor/L113</f>
        <v>0.00225074962010596</v>
      </c>
      <c r="AI113" s="220" t="n">
        <f aca="false">Algae_electricity_factor/M113</f>
        <v>0.00214883905175827</v>
      </c>
      <c r="AJ113" s="220" t="n">
        <f aca="false">Algae_electricity_factor/N113</f>
        <v>0.00209205047830888</v>
      </c>
      <c r="AK113" s="220" t="n">
        <f aca="false">Algae_electricity_factor/O113</f>
        <v>0.00201102907776494</v>
      </c>
      <c r="AL113" s="220" t="n">
        <f aca="false">Algae_electricity_factor/P113</f>
        <v>0.00190350222892733</v>
      </c>
      <c r="AM113" s="220" t="n">
        <f aca="false">Algae_electricity_factor/Q113</f>
        <v>0.00177372223981464</v>
      </c>
      <c r="AN113" s="220" t="n">
        <f aca="false">Algae_electricity_factor/R113</f>
        <v>0.00163388977987101</v>
      </c>
      <c r="AO113" s="220" t="n">
        <f aca="false">Algae_electricity_factor/S113</f>
        <v>0.00150049974673731</v>
      </c>
      <c r="AP113" s="220" t="n">
        <f aca="false">Algae_electricity_factor/T113</f>
        <v>0.00138724563187584</v>
      </c>
      <c r="AQ113" s="220" t="n">
        <f aca="false">Algae_electricity_factor/U113</f>
        <v>0.00130021574537775</v>
      </c>
      <c r="AR113" s="220" t="n">
        <f aca="false">Algae_electricity_factor/V113</f>
        <v>0.0012383259390941</v>
      </c>
      <c r="AS113" s="220" t="n">
        <f aca="false">Algae_electricity_factor/W113</f>
        <v>0.00119669987074088</v>
      </c>
      <c r="AT113" s="220" t="n">
        <f aca="false">Algae_electricity_factor/X113</f>
        <v>0.00116974206201226</v>
      </c>
      <c r="AU113" s="220" t="n">
        <f aca="false">Algae_electricity_factor/Y113</f>
        <v>0.00115270892366518</v>
      </c>
      <c r="AV113" s="220" t="n">
        <f aca="false">Algae_electricity_factor/Z113</f>
        <v>0.00114211376110793</v>
      </c>
      <c r="AW113" s="220" t="n">
        <f aca="false">Algae_electricity_factor/AA113</f>
        <v>0.00113558726554719</v>
      </c>
      <c r="AX113" s="220" t="n">
        <f aca="false">Algae_electricity_factor/AB113</f>
        <v>0.00113159117370638</v>
      </c>
      <c r="AY113" s="220" t="n">
        <f aca="false">Algae_electricity_factor/AC113</f>
        <v>0.00112915343786813</v>
      </c>
      <c r="AZ113" s="221" t="n">
        <f aca="false">Algae_yield_cost_factor/H113</f>
        <v>0.124601021364278</v>
      </c>
      <c r="BA113" s="197" t="n">
        <f aca="false">Algae_yield_cost_factor/I113</f>
        <v>0.124601021364278</v>
      </c>
      <c r="BB113" s="197" t="n">
        <f aca="false">Algae_yield_cost_factor/J113</f>
        <v>0.124601021364278</v>
      </c>
      <c r="BC113" s="197" t="n">
        <f aca="false">Algae_yield_cost_factor/K113</f>
        <v>0.124601021364278</v>
      </c>
      <c r="BD113" s="197" t="n">
        <f aca="false">Algae_yield_cost_factor/L113</f>
        <v>0.124601021364278</v>
      </c>
      <c r="BE113" s="197" t="n">
        <f aca="false">Algae_yield_cost_factor/M113</f>
        <v>0.118959273925779</v>
      </c>
      <c r="BF113" s="197" t="n">
        <f aca="false">Algae_yield_cost_factor/N113</f>
        <v>0.115815470550048</v>
      </c>
      <c r="BG113" s="197" t="n">
        <f aca="false">Algae_yield_cost_factor/O113</f>
        <v>0.111330143008522</v>
      </c>
      <c r="BH113" s="197" t="n">
        <f aca="false">Algae_yield_cost_factor/P113</f>
        <v>0.105377479473865</v>
      </c>
      <c r="BI113" s="197" t="n">
        <f aca="false">Algae_yield_cost_factor/Q113</f>
        <v>0.0981928868156533</v>
      </c>
      <c r="BJ113" s="197" t="n">
        <f aca="false">Algae_yield_cost_factor/R113</f>
        <v>0.0904517915053557</v>
      </c>
      <c r="BK113" s="197" t="n">
        <f aca="false">Algae_yield_cost_factor/S113</f>
        <v>0.0830673475761855</v>
      </c>
      <c r="BL113" s="197" t="n">
        <f aca="false">Algae_yield_cost_factor/T113</f>
        <v>0.0767976238097621</v>
      </c>
      <c r="BM113" s="197" t="n">
        <f aca="false">Algae_yield_cost_factor/U113</f>
        <v>0.0719796677608045</v>
      </c>
      <c r="BN113" s="197" t="n">
        <f aca="false">Algae_yield_cost_factor/V113</f>
        <v>0.0685534612178408</v>
      </c>
      <c r="BO113" s="197" t="n">
        <f aca="false">Algae_yield_cost_factor/W113</f>
        <v>0.0662490509067791</v>
      </c>
      <c r="BP113" s="197" t="n">
        <f aca="false">Algae_yield_cost_factor/X113</f>
        <v>0.064756672335958</v>
      </c>
      <c r="BQ113" s="197" t="n">
        <f aca="false">Algae_yield_cost_factor/Y113</f>
        <v>0.0638137214114634</v>
      </c>
      <c r="BR113" s="197" t="n">
        <f aca="false">Algae_yield_cost_factor/Z113</f>
        <v>0.0632271754605674</v>
      </c>
      <c r="BS113" s="197" t="n">
        <f aca="false">Algae_yield_cost_factor/AA113</f>
        <v>0.0628658700512346</v>
      </c>
      <c r="BT113" s="197" t="n">
        <f aca="false">Algae_yield_cost_factor/AB113</f>
        <v>0.0626446472548907</v>
      </c>
      <c r="BU113" s="197" t="n">
        <f aca="false">Algae_yield_cost_factor/AC113</f>
        <v>0.062509694716168</v>
      </c>
    </row>
    <row r="114" customFormat="false" ht="15" hidden="false" customHeight="false" outlineLevel="0" collapsed="false">
      <c r="A114" s="18" t="s">
        <v>708</v>
      </c>
      <c r="B114" s="18" t="s">
        <v>22</v>
      </c>
      <c r="C114" s="18" t="s">
        <v>683</v>
      </c>
      <c r="D114" s="18" t="s">
        <v>683</v>
      </c>
      <c r="E114" s="28" t="n">
        <v>5.541795</v>
      </c>
      <c r="F114" s="185" t="n">
        <f aca="false">E114/$B$2*$F$3/1000</f>
        <v>0.01357739775</v>
      </c>
      <c r="G114" s="18" t="n">
        <f aca="false">LOOKUP(RIGHT(D114,5),Ref!$C$4:$C$21,Ref!$E$4:$E$21)*$G$3</f>
        <v>3</v>
      </c>
      <c r="H114" s="218" t="n">
        <f aca="false">$E114</f>
        <v>5.541795</v>
      </c>
      <c r="I114" s="177" t="n">
        <f aca="false">$E114</f>
        <v>5.541795</v>
      </c>
      <c r="J114" s="177" t="n">
        <f aca="false">$E114</f>
        <v>5.541795</v>
      </c>
      <c r="K114" s="177" t="n">
        <f aca="false">$E114</f>
        <v>5.541795</v>
      </c>
      <c r="L114" s="177" t="n">
        <f aca="false">$E114</f>
        <v>5.541795</v>
      </c>
      <c r="M114" s="177" t="n">
        <f aca="false">M$3*$E114</f>
        <v>5.80461946684607</v>
      </c>
      <c r="N114" s="177" t="n">
        <f aca="false">N$3*$E114</f>
        <v>5.96218548275083</v>
      </c>
      <c r="O114" s="177" t="n">
        <f aca="false">O$3*$E114</f>
        <v>6.20239315724756</v>
      </c>
      <c r="P114" s="177" t="n">
        <f aca="false">P$3*$E114</f>
        <v>6.55275985570245</v>
      </c>
      <c r="Q114" s="177" t="n">
        <f aca="false">Q$3*$E114</f>
        <v>7.03221322424113</v>
      </c>
      <c r="R114" s="177" t="n">
        <f aca="false">R$3*$E114</f>
        <v>7.63404799064222</v>
      </c>
      <c r="S114" s="177" t="n">
        <f aca="false">S$3*$E114</f>
        <v>8.3126925</v>
      </c>
      <c r="T114" s="177" t="n">
        <f aca="false">T$3*$E114</f>
        <v>8.99133700935778</v>
      </c>
      <c r="U114" s="177" t="n">
        <f aca="false">U$3*$E114</f>
        <v>9.59317177575887</v>
      </c>
      <c r="V114" s="177" t="n">
        <f aca="false">V$3*$E114</f>
        <v>10.0726251442976</v>
      </c>
      <c r="W114" s="177" t="n">
        <f aca="false">W$3*$E114</f>
        <v>10.4229918427524</v>
      </c>
      <c r="X114" s="177" t="n">
        <f aca="false">X$3*$E114</f>
        <v>10.6631995172492</v>
      </c>
      <c r="Y114" s="177" t="n">
        <f aca="false">Y$3*$E114</f>
        <v>10.8207655331539</v>
      </c>
      <c r="Z114" s="177" t="n">
        <f aca="false">Z$3*$E114</f>
        <v>10.9211476261833</v>
      </c>
      <c r="AA114" s="177" t="n">
        <f aca="false">AA$3*$E114</f>
        <v>10.9839141115631</v>
      </c>
      <c r="AB114" s="177" t="n">
        <f aca="false">AB$3*$E114</f>
        <v>11.0227026162645</v>
      </c>
      <c r="AC114" s="177" t="n">
        <f aca="false">AC$3*$E114</f>
        <v>11.0464995922121</v>
      </c>
      <c r="AD114" s="219" t="n">
        <f aca="false">Algae_electricity_factor/H114</f>
        <v>0.00247999016627812</v>
      </c>
      <c r="AE114" s="220" t="n">
        <f aca="false">Algae_electricity_factor/I114</f>
        <v>0.00247999016627812</v>
      </c>
      <c r="AF114" s="220" t="n">
        <f aca="false">Algae_electricity_factor/J114</f>
        <v>0.00247999016627812</v>
      </c>
      <c r="AG114" s="220" t="n">
        <f aca="false">Algae_electricity_factor/K114</f>
        <v>0.00247999016627812</v>
      </c>
      <c r="AH114" s="220" t="n">
        <f aca="false">Algae_electricity_factor/L114</f>
        <v>0.00247999016627812</v>
      </c>
      <c r="AI114" s="220" t="n">
        <f aca="false">Algae_electricity_factor/M114</f>
        <v>0.0023676999296901</v>
      </c>
      <c r="AJ114" s="220" t="n">
        <f aca="false">Algae_electricity_factor/N114</f>
        <v>0.00230512739720876</v>
      </c>
      <c r="AK114" s="220" t="n">
        <f aca="false">Algae_electricity_factor/O114</f>
        <v>0.00221585390591851</v>
      </c>
      <c r="AL114" s="220" t="n">
        <f aca="false">Algae_electricity_factor/P114</f>
        <v>0.00209737536643726</v>
      </c>
      <c r="AM114" s="220" t="n">
        <f aca="false">Algae_electricity_factor/Q114</f>
        <v>0.00195437718756208</v>
      </c>
      <c r="AN114" s="220" t="n">
        <f aca="false">Algae_electricity_factor/R114</f>
        <v>0.00180030268612093</v>
      </c>
      <c r="AO114" s="220" t="n">
        <f aca="false">Algae_electricity_factor/S114</f>
        <v>0.00165332677751875</v>
      </c>
      <c r="AP114" s="220" t="n">
        <f aca="false">Algae_electricity_factor/T114</f>
        <v>0.00152853764564998</v>
      </c>
      <c r="AQ114" s="220" t="n">
        <f aca="false">Algae_electricity_factor/U114</f>
        <v>0.00143264369957996</v>
      </c>
      <c r="AR114" s="220" t="n">
        <f aca="false">Algae_electricity_factor/V114</f>
        <v>0.00136445036985318</v>
      </c>
      <c r="AS114" s="220" t="n">
        <f aca="false">Algae_electricity_factor/W114</f>
        <v>0.0013185846550466</v>
      </c>
      <c r="AT114" s="220" t="n">
        <f aca="false">Algae_electricity_factor/X114</f>
        <v>0.00128888117316919</v>
      </c>
      <c r="AU114" s="220" t="n">
        <f aca="false">Algae_electricity_factor/Y114</f>
        <v>0.00127011319683621</v>
      </c>
      <c r="AV114" s="220" t="n">
        <f aca="false">Algae_electricity_factor/Z114</f>
        <v>0.00125843890898235</v>
      </c>
      <c r="AW114" s="220" t="n">
        <f aca="false">Algae_electricity_factor/AA114</f>
        <v>0.0012512476849269</v>
      </c>
      <c r="AX114" s="220" t="n">
        <f aca="false">Algae_electricity_factor/AB114</f>
        <v>0.00124684458811852</v>
      </c>
      <c r="AY114" s="220" t="n">
        <f aca="false">Algae_electricity_factor/AC114</f>
        <v>0.00124415856704677</v>
      </c>
      <c r="AZ114" s="221" t="n">
        <f aca="false">Algae_yield_cost_factor/H114</f>
        <v>0.137291729355961</v>
      </c>
      <c r="BA114" s="197" t="n">
        <f aca="false">Algae_yield_cost_factor/I114</f>
        <v>0.137291729355961</v>
      </c>
      <c r="BB114" s="197" t="n">
        <f aca="false">Algae_yield_cost_factor/J114</f>
        <v>0.137291729355961</v>
      </c>
      <c r="BC114" s="197" t="n">
        <f aca="false">Algae_yield_cost_factor/K114</f>
        <v>0.137291729355961</v>
      </c>
      <c r="BD114" s="197" t="n">
        <f aca="false">Algae_yield_cost_factor/L114</f>
        <v>0.137291729355961</v>
      </c>
      <c r="BE114" s="197" t="n">
        <f aca="false">Algae_yield_cost_factor/M114</f>
        <v>0.131075365686223</v>
      </c>
      <c r="BF114" s="197" t="n">
        <f aca="false">Algae_yield_cost_factor/N114</f>
        <v>0.127611363565828</v>
      </c>
      <c r="BG114" s="197" t="n">
        <f aca="false">Algae_yield_cost_factor/O114</f>
        <v>0.122669202031665</v>
      </c>
      <c r="BH114" s="197" t="n">
        <f aca="false">Algae_yield_cost_factor/P114</f>
        <v>0.116110255226903</v>
      </c>
      <c r="BI114" s="197" t="n">
        <f aca="false">Algae_yield_cost_factor/Q114</f>
        <v>0.108193906388315</v>
      </c>
      <c r="BJ114" s="197" t="n">
        <f aca="false">Algae_yield_cost_factor/R114</f>
        <v>0.0996643746828492</v>
      </c>
      <c r="BK114" s="197" t="n">
        <f aca="false">Algae_yield_cost_factor/S114</f>
        <v>0.0915278195706407</v>
      </c>
      <c r="BL114" s="197" t="n">
        <f aca="false">Algae_yield_cost_factor/T114</f>
        <v>0.084619519710402</v>
      </c>
      <c r="BM114" s="197" t="n">
        <f aca="false">Algae_yield_cost_factor/U114</f>
        <v>0.0793108512044789</v>
      </c>
      <c r="BN114" s="197" t="n">
        <f aca="false">Algae_yield_cost_factor/V114</f>
        <v>0.0755356829412992</v>
      </c>
      <c r="BO114" s="197" t="n">
        <f aca="false">Algae_yield_cost_factor/W114</f>
        <v>0.0729965667022243</v>
      </c>
      <c r="BP114" s="197" t="n">
        <f aca="false">Algae_yield_cost_factor/X114</f>
        <v>0.0713521882485132</v>
      </c>
      <c r="BQ114" s="197" t="n">
        <f aca="false">Algae_yield_cost_factor/Y114</f>
        <v>0.0703131970612485</v>
      </c>
      <c r="BR114" s="197" t="n">
        <f aca="false">Algae_yield_cost_factor/Z114</f>
        <v>0.0696669109629202</v>
      </c>
      <c r="BS114" s="197" t="n">
        <f aca="false">Algae_yield_cost_factor/AA114</f>
        <v>0.0692688063251745</v>
      </c>
      <c r="BT114" s="197" t="n">
        <f aca="false">Algae_yield_cost_factor/AB114</f>
        <v>0.0690250518201916</v>
      </c>
      <c r="BU114" s="197" t="n">
        <f aca="false">Algae_yield_cost_factor/AC114</f>
        <v>0.0688763542636278</v>
      </c>
    </row>
    <row r="115" customFormat="false" ht="15" hidden="false" customHeight="false" outlineLevel="0" collapsed="false">
      <c r="A115" s="18" t="s">
        <v>708</v>
      </c>
      <c r="B115" s="18" t="s">
        <v>22</v>
      </c>
      <c r="C115" s="18" t="s">
        <v>684</v>
      </c>
      <c r="D115" s="18" t="s">
        <v>684</v>
      </c>
      <c r="E115" s="28" t="n">
        <v>5.9726775</v>
      </c>
      <c r="F115" s="185" t="n">
        <f aca="false">E115/$B$2*$F$3/1000</f>
        <v>0.014633059875</v>
      </c>
      <c r="G115" s="18" t="n">
        <f aca="false">LOOKUP(RIGHT(D115,5),Ref!$C$4:$C$21,Ref!$E$4:$E$21)*$G$3</f>
        <v>3.5</v>
      </c>
      <c r="H115" s="218" t="n">
        <f aca="false">$E115</f>
        <v>5.9726775</v>
      </c>
      <c r="I115" s="177" t="n">
        <f aca="false">$E115</f>
        <v>5.9726775</v>
      </c>
      <c r="J115" s="177" t="n">
        <f aca="false">$E115</f>
        <v>5.9726775</v>
      </c>
      <c r="K115" s="177" t="n">
        <f aca="false">$E115</f>
        <v>5.9726775</v>
      </c>
      <c r="L115" s="177" t="n">
        <f aca="false">$E115</f>
        <v>5.9726775</v>
      </c>
      <c r="M115" s="177" t="n">
        <f aca="false">M$3*$E115</f>
        <v>6.25593694564551</v>
      </c>
      <c r="N115" s="177" t="n">
        <f aca="false">N$3*$E115</f>
        <v>6.42575394500383</v>
      </c>
      <c r="O115" s="177" t="n">
        <f aca="false">O$3*$E115</f>
        <v>6.68463811029576</v>
      </c>
      <c r="P115" s="177" t="n">
        <f aca="false">P$3*$E115</f>
        <v>7.06224632146394</v>
      </c>
      <c r="Q115" s="177" t="n">
        <f aca="false">Q$3*$E115</f>
        <v>7.57897787623459</v>
      </c>
      <c r="R115" s="177" t="n">
        <f aca="false">R$3*$E115</f>
        <v>8.22760615786564</v>
      </c>
      <c r="S115" s="177" t="n">
        <f aca="false">S$3*$E115</f>
        <v>8.95901625</v>
      </c>
      <c r="T115" s="177" t="n">
        <f aca="false">T$3*$E115</f>
        <v>9.69042634213436</v>
      </c>
      <c r="U115" s="177" t="n">
        <f aca="false">U$3*$E115</f>
        <v>10.3390546237654</v>
      </c>
      <c r="V115" s="177" t="n">
        <f aca="false">V$3*$E115</f>
        <v>10.8557861785361</v>
      </c>
      <c r="W115" s="177" t="n">
        <f aca="false">W$3*$E115</f>
        <v>11.2333943897042</v>
      </c>
      <c r="X115" s="177" t="n">
        <f aca="false">X$3*$E115</f>
        <v>11.4922785549962</v>
      </c>
      <c r="Y115" s="177" t="n">
        <f aca="false">Y$3*$E115</f>
        <v>11.6620955543545</v>
      </c>
      <c r="Z115" s="177" t="n">
        <f aca="false">Z$3*$E115</f>
        <v>11.7702824989166</v>
      </c>
      <c r="AA115" s="177" t="n">
        <f aca="false">AA$3*$E115</f>
        <v>11.8379291684491</v>
      </c>
      <c r="AB115" s="177" t="n">
        <f aca="false">AB$3*$E115</f>
        <v>11.8797335349565</v>
      </c>
      <c r="AC115" s="177" t="n">
        <f aca="false">AC$3*$E115</f>
        <v>11.9053807598737</v>
      </c>
      <c r="AD115" s="219" t="n">
        <f aca="false">Algae_electricity_factor/H115</f>
        <v>0.00230107805143158</v>
      </c>
      <c r="AE115" s="220" t="n">
        <f aca="false">Algae_electricity_factor/I115</f>
        <v>0.00230107805143158</v>
      </c>
      <c r="AF115" s="220" t="n">
        <f aca="false">Algae_electricity_factor/J115</f>
        <v>0.00230107805143158</v>
      </c>
      <c r="AG115" s="220" t="n">
        <f aca="false">Algae_electricity_factor/K115</f>
        <v>0.00230107805143158</v>
      </c>
      <c r="AH115" s="220" t="n">
        <f aca="false">Algae_electricity_factor/L115</f>
        <v>0.00230107805143158</v>
      </c>
      <c r="AI115" s="220" t="n">
        <f aca="false">Algae_electricity_factor/M115</f>
        <v>0.00219688868716869</v>
      </c>
      <c r="AJ115" s="220" t="n">
        <f aca="false">Algae_electricity_factor/N115</f>
        <v>0.00213883027908581</v>
      </c>
      <c r="AK115" s="220" t="n">
        <f aca="false">Algae_electricity_factor/O115</f>
        <v>0.00205599717991632</v>
      </c>
      <c r="AL115" s="220" t="n">
        <f aca="false">Algae_electricity_factor/P115</f>
        <v>0.00194606595096507</v>
      </c>
      <c r="AM115" s="220" t="n">
        <f aca="false">Algae_electricity_factor/Q115</f>
        <v>0.00181338398501269</v>
      </c>
      <c r="AN115" s="220" t="n">
        <f aca="false">Algae_electricity_factor/R115</f>
        <v>0.0016704247675237</v>
      </c>
      <c r="AO115" s="220" t="n">
        <f aca="false">Algae_electricity_factor/S115</f>
        <v>0.00153405203428772</v>
      </c>
      <c r="AP115" s="220" t="n">
        <f aca="false">Algae_electricity_factor/T115</f>
        <v>0.00141826547339528</v>
      </c>
      <c r="AQ115" s="220" t="n">
        <f aca="false">Algae_electricity_factor/U115</f>
        <v>0.00132928953406805</v>
      </c>
      <c r="AR115" s="220" t="n">
        <f aca="false">Algae_electricity_factor/V115</f>
        <v>0.00126601582580016</v>
      </c>
      <c r="AS115" s="220" t="n">
        <f aca="false">Algae_electricity_factor/W115</f>
        <v>0.00122345896767639</v>
      </c>
      <c r="AT115" s="220" t="n">
        <f aca="false">Algae_electricity_factor/X115</f>
        <v>0.00119589836234472</v>
      </c>
      <c r="AU115" s="220" t="n">
        <f aca="false">Algae_electricity_factor/Y115</f>
        <v>0.0011784843503874</v>
      </c>
      <c r="AV115" s="220" t="n">
        <f aca="false">Algae_electricity_factor/Z115</f>
        <v>0.00116765227213487</v>
      </c>
      <c r="AW115" s="220" t="n">
        <f aca="false">Algae_electricity_factor/AA115</f>
        <v>0.00116097983929142</v>
      </c>
      <c r="AX115" s="220" t="n">
        <f aca="false">Algae_electricity_factor/AB115</f>
        <v>0.00115689439187237</v>
      </c>
      <c r="AY115" s="220" t="n">
        <f aca="false">Algae_electricity_factor/AC115</f>
        <v>0.00115440214645223</v>
      </c>
      <c r="AZ115" s="221" t="n">
        <f aca="false">Algae_yield_cost_factor/H115</f>
        <v>0.127387192642867</v>
      </c>
      <c r="BA115" s="197" t="n">
        <f aca="false">Algae_yield_cost_factor/I115</f>
        <v>0.127387192642867</v>
      </c>
      <c r="BB115" s="197" t="n">
        <f aca="false">Algae_yield_cost_factor/J115</f>
        <v>0.127387192642867</v>
      </c>
      <c r="BC115" s="197" t="n">
        <f aca="false">Algae_yield_cost_factor/K115</f>
        <v>0.127387192642867</v>
      </c>
      <c r="BD115" s="197" t="n">
        <f aca="false">Algae_yield_cost_factor/L115</f>
        <v>0.127387192642867</v>
      </c>
      <c r="BE115" s="197" t="n">
        <f aca="false">Algae_yield_cost_factor/M115</f>
        <v>0.121619291546058</v>
      </c>
      <c r="BF115" s="197" t="n">
        <f aca="false">Algae_yield_cost_factor/N115</f>
        <v>0.118405190394474</v>
      </c>
      <c r="BG115" s="197" t="n">
        <f aca="false">Algae_yield_cost_factor/O115</f>
        <v>0.113819567601477</v>
      </c>
      <c r="BH115" s="197" t="n">
        <f aca="false">Algae_yield_cost_factor/P115</f>
        <v>0.107733798093933</v>
      </c>
      <c r="BI115" s="197" t="n">
        <f aca="false">Algae_yield_cost_factor/Q115</f>
        <v>0.10038855261367</v>
      </c>
      <c r="BJ115" s="197" t="n">
        <f aca="false">Algae_yield_cost_factor/R115</f>
        <v>0.0924743606691538</v>
      </c>
      <c r="BK115" s="197" t="n">
        <f aca="false">Algae_yield_cost_factor/S115</f>
        <v>0.0849247950952447</v>
      </c>
      <c r="BL115" s="197" t="n">
        <f aca="false">Algae_yield_cost_factor/T115</f>
        <v>0.078514875653927</v>
      </c>
      <c r="BM115" s="197" t="n">
        <f aca="false">Algae_yield_cost_factor/U115</f>
        <v>0.0735891865332968</v>
      </c>
      <c r="BN115" s="197" t="n">
        <f aca="false">Algae_yield_cost_factor/V115</f>
        <v>0.0700863674701467</v>
      </c>
      <c r="BO115" s="197" t="n">
        <f aca="false">Algae_yield_cost_factor/W115</f>
        <v>0.0677304288348991</v>
      </c>
      <c r="BP115" s="197" t="n">
        <f aca="false">Algae_yield_cost_factor/X115</f>
        <v>0.0662046795720461</v>
      </c>
      <c r="BQ115" s="197" t="n">
        <f aca="false">Algae_yield_cost_factor/Y115</f>
        <v>0.0652406435653091</v>
      </c>
      <c r="BR115" s="197" t="n">
        <f aca="false">Algae_yield_cost_factor/Z115</f>
        <v>0.0646409820117956</v>
      </c>
      <c r="BS115" s="197" t="n">
        <f aca="false">Algae_yield_cost_factor/AA115</f>
        <v>0.0642715975454594</v>
      </c>
      <c r="BT115" s="197" t="n">
        <f aca="false">Algae_yield_cost_factor/AB115</f>
        <v>0.0640454280432651</v>
      </c>
      <c r="BU115" s="197" t="n">
        <f aca="false">Algae_yield_cost_factor/AC115</f>
        <v>0.063907457865656</v>
      </c>
    </row>
    <row r="116" customFormat="false" ht="15" hidden="false" customHeight="false" outlineLevel="0" collapsed="false">
      <c r="A116" s="18" t="s">
        <v>708</v>
      </c>
      <c r="B116" s="18" t="s">
        <v>22</v>
      </c>
      <c r="C116" s="18" t="s">
        <v>685</v>
      </c>
      <c r="D116" s="18" t="s">
        <v>685</v>
      </c>
      <c r="E116" s="28" t="n">
        <v>5.90716</v>
      </c>
      <c r="F116" s="185" t="n">
        <f aca="false">E116/$B$2*$F$3/1000</f>
        <v>0.014472542</v>
      </c>
      <c r="G116" s="18" t="n">
        <f aca="false">LOOKUP(RIGHT(D116,5),Ref!$C$4:$C$21,Ref!$E$4:$E$21)*$G$3</f>
        <v>4</v>
      </c>
      <c r="H116" s="218" t="n">
        <f aca="false">$E116</f>
        <v>5.90716</v>
      </c>
      <c r="I116" s="177" t="n">
        <f aca="false">$E116</f>
        <v>5.90716</v>
      </c>
      <c r="J116" s="177" t="n">
        <f aca="false">$E116</f>
        <v>5.90716</v>
      </c>
      <c r="K116" s="177" t="n">
        <f aca="false">$E116</f>
        <v>5.90716</v>
      </c>
      <c r="L116" s="177" t="n">
        <f aca="false">$E116</f>
        <v>5.90716</v>
      </c>
      <c r="M116" s="177" t="n">
        <f aca="false">M$3*$E116</f>
        <v>6.1873122209996</v>
      </c>
      <c r="N116" s="177" t="n">
        <f aca="false">N$3*$E116</f>
        <v>6.35526640669429</v>
      </c>
      <c r="O116" s="177" t="n">
        <f aca="false">O$3*$E116</f>
        <v>6.61131073285217</v>
      </c>
      <c r="P116" s="177" t="n">
        <f aca="false">P$3*$E116</f>
        <v>6.98477675720796</v>
      </c>
      <c r="Q116" s="177" t="n">
        <f aca="false">Q$3*$E116</f>
        <v>7.49584000665998</v>
      </c>
      <c r="R116" s="177" t="n">
        <f aca="false">R$3*$E116</f>
        <v>8.13735313709765</v>
      </c>
      <c r="S116" s="177" t="n">
        <f aca="false">S$3*$E116</f>
        <v>8.86074</v>
      </c>
      <c r="T116" s="177" t="n">
        <f aca="false">T$3*$E116</f>
        <v>9.58412686290235</v>
      </c>
      <c r="U116" s="177" t="n">
        <f aca="false">U$3*$E116</f>
        <v>10.22563999334</v>
      </c>
      <c r="V116" s="177" t="n">
        <f aca="false">V$3*$E116</f>
        <v>10.736703242792</v>
      </c>
      <c r="W116" s="177" t="n">
        <f aca="false">W$3*$E116</f>
        <v>11.1101692671478</v>
      </c>
      <c r="X116" s="177" t="n">
        <f aca="false">X$3*$E116</f>
        <v>11.3662135933057</v>
      </c>
      <c r="Y116" s="177" t="n">
        <f aca="false">Y$3*$E116</f>
        <v>11.5341677790004</v>
      </c>
      <c r="Z116" s="177" t="n">
        <f aca="false">Z$3*$E116</f>
        <v>11.6411679629948</v>
      </c>
      <c r="AA116" s="177" t="n">
        <f aca="false">AA$3*$E116</f>
        <v>11.7080725799603</v>
      </c>
      <c r="AB116" s="177" t="n">
        <f aca="false">AB$3*$E116</f>
        <v>11.7494183719703</v>
      </c>
      <c r="AC116" s="177" t="n">
        <f aca="false">AC$3*$E116</f>
        <v>11.7747842587341</v>
      </c>
      <c r="AD116" s="219" t="n">
        <f aca="false">Algae_electricity_factor/H116</f>
        <v>0.00232659977104552</v>
      </c>
      <c r="AE116" s="220" t="n">
        <f aca="false">Algae_electricity_factor/I116</f>
        <v>0.00232659977104552</v>
      </c>
      <c r="AF116" s="220" t="n">
        <f aca="false">Algae_electricity_factor/J116</f>
        <v>0.00232659977104552</v>
      </c>
      <c r="AG116" s="220" t="n">
        <f aca="false">Algae_electricity_factor/K116</f>
        <v>0.00232659977104552</v>
      </c>
      <c r="AH116" s="220" t="n">
        <f aca="false">Algae_electricity_factor/L116</f>
        <v>0.00232659977104552</v>
      </c>
      <c r="AI116" s="220" t="n">
        <f aca="false">Algae_electricity_factor/M116</f>
        <v>0.00222125482158211</v>
      </c>
      <c r="AJ116" s="220" t="n">
        <f aca="false">Algae_electricity_factor/N116</f>
        <v>0.00216255247601462</v>
      </c>
      <c r="AK116" s="220" t="n">
        <f aca="false">Algae_electricity_factor/O116</f>
        <v>0.00207880065827736</v>
      </c>
      <c r="AL116" s="220" t="n">
        <f aca="false">Algae_electricity_factor/P116</f>
        <v>0.00196765015994914</v>
      </c>
      <c r="AM116" s="220" t="n">
        <f aca="false">Algae_electricity_factor/Q116</f>
        <v>0.00183349659161858</v>
      </c>
      <c r="AN116" s="220" t="n">
        <f aca="false">Algae_electricity_factor/R116</f>
        <v>0.00168895178468698</v>
      </c>
      <c r="AO116" s="220" t="n">
        <f aca="false">Algae_electricity_factor/S116</f>
        <v>0.00155106651403035</v>
      </c>
      <c r="AP116" s="220" t="n">
        <f aca="false">Algae_electricity_factor/T116</f>
        <v>0.00143399574109637</v>
      </c>
      <c r="AQ116" s="220" t="n">
        <f aca="false">Algae_electricity_factor/U116</f>
        <v>0.00134403295172532</v>
      </c>
      <c r="AR116" s="220" t="n">
        <f aca="false">Algae_electricity_factor/V116</f>
        <v>0.00128005746202922</v>
      </c>
      <c r="AS116" s="220" t="n">
        <f aca="false">Algae_electricity_factor/W116</f>
        <v>0.00123702859723014</v>
      </c>
      <c r="AT116" s="220" t="n">
        <f aca="false">Algae_electricity_factor/X116</f>
        <v>0.00120916231167992</v>
      </c>
      <c r="AU116" s="220" t="n">
        <f aca="false">Algae_electricity_factor/Y116</f>
        <v>0.00119155515741252</v>
      </c>
      <c r="AV116" s="220" t="n">
        <f aca="false">Algae_electricity_factor/Z116</f>
        <v>0.00118060293840083</v>
      </c>
      <c r="AW116" s="220" t="n">
        <f aca="false">Algae_electricity_factor/AA116</f>
        <v>0.0011738565002623</v>
      </c>
      <c r="AX116" s="220" t="n">
        <f aca="false">Algae_electricity_factor/AB116</f>
        <v>0.00116972574032399</v>
      </c>
      <c r="AY116" s="220" t="n">
        <f aca="false">Algae_electricity_factor/AC116</f>
        <v>0.0011672058529085</v>
      </c>
      <c r="AZ116" s="221" t="n">
        <f aca="false">Algae_yield_cost_factor/H116</f>
        <v>0.128800069625034</v>
      </c>
      <c r="BA116" s="197" t="n">
        <f aca="false">Algae_yield_cost_factor/I116</f>
        <v>0.128800069625034</v>
      </c>
      <c r="BB116" s="197" t="n">
        <f aca="false">Algae_yield_cost_factor/J116</f>
        <v>0.128800069625034</v>
      </c>
      <c r="BC116" s="197" t="n">
        <f aca="false">Algae_yield_cost_factor/K116</f>
        <v>0.128800069625034</v>
      </c>
      <c r="BD116" s="197" t="n">
        <f aca="false">Algae_yield_cost_factor/L116</f>
        <v>0.128800069625034</v>
      </c>
      <c r="BE116" s="197" t="n">
        <f aca="false">Algae_yield_cost_factor/M116</f>
        <v>0.122968195576738</v>
      </c>
      <c r="BF116" s="197" t="n">
        <f aca="false">Algae_yield_cost_factor/N116</f>
        <v>0.119718446182648</v>
      </c>
      <c r="BG116" s="197" t="n">
        <f aca="false">Algae_yield_cost_factor/O116</f>
        <v>0.115081963324689</v>
      </c>
      <c r="BH116" s="197" t="n">
        <f aca="false">Algae_yield_cost_factor/P116</f>
        <v>0.108928695323163</v>
      </c>
      <c r="BI116" s="197" t="n">
        <f aca="false">Algae_yield_cost_factor/Q116</f>
        <v>0.101501982247515</v>
      </c>
      <c r="BJ116" s="197" t="n">
        <f aca="false">Algae_yield_cost_factor/R116</f>
        <v>0.0935000124079151</v>
      </c>
      <c r="BK116" s="197" t="n">
        <f aca="false">Algae_yield_cost_factor/S116</f>
        <v>0.0858667130833562</v>
      </c>
      <c r="BL116" s="197" t="n">
        <f aca="false">Algae_yield_cost_factor/T116</f>
        <v>0.0793856999359265</v>
      </c>
      <c r="BM116" s="197" t="n">
        <f aca="false">Algae_yield_cost_factor/U116</f>
        <v>0.074405379006278</v>
      </c>
      <c r="BN116" s="197" t="n">
        <f aca="false">Algae_yield_cost_factor/V116</f>
        <v>0.070863709472179</v>
      </c>
      <c r="BO116" s="197" t="n">
        <f aca="false">Algae_yield_cost_factor/W116</f>
        <v>0.0684816406475452</v>
      </c>
      <c r="BP116" s="197" t="n">
        <f aca="false">Algae_yield_cost_factor/X116</f>
        <v>0.0669389689926579</v>
      </c>
      <c r="BQ116" s="197" t="n">
        <f aca="false">Algae_yield_cost_factor/Y116</f>
        <v>0.0659642406686194</v>
      </c>
      <c r="BR116" s="197" t="n">
        <f aca="false">Algae_yield_cost_factor/Z116</f>
        <v>0.0653579281481721</v>
      </c>
      <c r="BS116" s="197" t="n">
        <f aca="false">Algae_yield_cost_factor/AA116</f>
        <v>0.0649844467644046</v>
      </c>
      <c r="BT116" s="197" t="n">
        <f aca="false">Algae_yield_cost_factor/AB116</f>
        <v>0.0647557687707593</v>
      </c>
      <c r="BU116" s="197" t="n">
        <f aca="false">Algae_yield_cost_factor/AC116</f>
        <v>0.0646162683381526</v>
      </c>
    </row>
    <row r="117" customFormat="false" ht="15" hidden="false" customHeight="false" outlineLevel="0" collapsed="false">
      <c r="A117" s="18" t="s">
        <v>708</v>
      </c>
      <c r="B117" s="18" t="s">
        <v>22</v>
      </c>
      <c r="C117" s="18" t="s">
        <v>686</v>
      </c>
      <c r="D117" s="18" t="s">
        <v>686</v>
      </c>
      <c r="E117" s="28" t="n">
        <v>6.133095</v>
      </c>
      <c r="F117" s="185" t="n">
        <f aca="false">E117/$B$2*$F$3/1000</f>
        <v>0.01502608275</v>
      </c>
      <c r="G117" s="18" t="n">
        <f aca="false">LOOKUP(RIGHT(D117,5),Ref!$C$4:$C$21,Ref!$E$4:$E$21)*$G$3</f>
        <v>4.5</v>
      </c>
      <c r="H117" s="218" t="n">
        <f aca="false">$E117</f>
        <v>6.133095</v>
      </c>
      <c r="I117" s="177" t="n">
        <f aca="false">$E117</f>
        <v>6.133095</v>
      </c>
      <c r="J117" s="177" t="n">
        <f aca="false">$E117</f>
        <v>6.133095</v>
      </c>
      <c r="K117" s="177" t="n">
        <f aca="false">$E117</f>
        <v>6.133095</v>
      </c>
      <c r="L117" s="177" t="n">
        <f aca="false">$E117</f>
        <v>6.133095</v>
      </c>
      <c r="M117" s="177" t="n">
        <f aca="false">M$3*$E117</f>
        <v>6.42396238565597</v>
      </c>
      <c r="N117" s="177" t="n">
        <f aca="false">N$3*$E117</f>
        <v>6.59834042459739</v>
      </c>
      <c r="O117" s="177" t="n">
        <f aca="false">O$3*$E117</f>
        <v>6.86417784503924</v>
      </c>
      <c r="P117" s="177" t="n">
        <f aca="false">P$3*$E117</f>
        <v>7.25192806792915</v>
      </c>
      <c r="Q117" s="177" t="n">
        <f aca="false">Q$3*$E117</f>
        <v>7.78253828669721</v>
      </c>
      <c r="R117" s="177" t="n">
        <f aca="false">R$3*$E117</f>
        <v>8.44858778810256</v>
      </c>
      <c r="S117" s="177" t="n">
        <f aca="false">S$3*$E117</f>
        <v>9.1996425</v>
      </c>
      <c r="T117" s="177" t="n">
        <f aca="false">T$3*$E117</f>
        <v>9.95069721189744</v>
      </c>
      <c r="U117" s="177" t="n">
        <f aca="false">U$3*$E117</f>
        <v>10.6167467133028</v>
      </c>
      <c r="V117" s="177" t="n">
        <f aca="false">V$3*$E117</f>
        <v>11.1473569320709</v>
      </c>
      <c r="W117" s="177" t="n">
        <f aca="false">W$3*$E117</f>
        <v>11.5351071549608</v>
      </c>
      <c r="X117" s="177" t="n">
        <f aca="false">X$3*$E117</f>
        <v>11.8009445754026</v>
      </c>
      <c r="Y117" s="177" t="n">
        <f aca="false">Y$3*$E117</f>
        <v>11.975322614344</v>
      </c>
      <c r="Z117" s="177" t="n">
        <f aca="false">Z$3*$E117</f>
        <v>12.08641530414</v>
      </c>
      <c r="AA117" s="177" t="n">
        <f aca="false">AA$3*$E117</f>
        <v>12.1558788656125</v>
      </c>
      <c r="AB117" s="177" t="n">
        <f aca="false">AB$3*$E117</f>
        <v>12.198806037087</v>
      </c>
      <c r="AC117" s="177" t="n">
        <f aca="false">AC$3*$E117</f>
        <v>12.2251421094605</v>
      </c>
      <c r="AD117" s="219" t="n">
        <f aca="false">Algae_electricity_factor/H117</f>
        <v>0.00224089095367498</v>
      </c>
      <c r="AE117" s="220" t="n">
        <f aca="false">Algae_electricity_factor/I117</f>
        <v>0.00224089095367498</v>
      </c>
      <c r="AF117" s="220" t="n">
        <f aca="false">Algae_electricity_factor/J117</f>
        <v>0.00224089095367498</v>
      </c>
      <c r="AG117" s="220" t="n">
        <f aca="false">Algae_electricity_factor/K117</f>
        <v>0.00224089095367498</v>
      </c>
      <c r="AH117" s="220" t="n">
        <f aca="false">Algae_electricity_factor/L117</f>
        <v>0.00224089095367498</v>
      </c>
      <c r="AI117" s="220" t="n">
        <f aca="false">Algae_electricity_factor/M117</f>
        <v>0.00213942677096262</v>
      </c>
      <c r="AJ117" s="220" t="n">
        <f aca="false">Algae_electricity_factor/N117</f>
        <v>0.00208288694113078</v>
      </c>
      <c r="AK117" s="220" t="n">
        <f aca="false">Algae_electricity_factor/O117</f>
        <v>0.00200222042811169</v>
      </c>
      <c r="AL117" s="220" t="n">
        <f aca="false">Algae_electricity_factor/P117</f>
        <v>0.00189516456517389</v>
      </c>
      <c r="AM117" s="220" t="n">
        <f aca="false">Algae_electricity_factor/Q117</f>
        <v>0.00176595303450307</v>
      </c>
      <c r="AN117" s="220" t="n">
        <f aca="false">Algae_electricity_factor/R117</f>
        <v>0.00162673306453455</v>
      </c>
      <c r="AO117" s="220" t="n">
        <f aca="false">Algae_electricity_factor/S117</f>
        <v>0.00149392730244999</v>
      </c>
      <c r="AP117" s="220" t="n">
        <f aca="false">Algae_electricity_factor/T117</f>
        <v>0.00138116925988833</v>
      </c>
      <c r="AQ117" s="220" t="n">
        <f aca="false">Algae_electricity_factor/U117</f>
        <v>0.00129452057910626</v>
      </c>
      <c r="AR117" s="220" t="n">
        <f aca="false">Algae_electricity_factor/V117</f>
        <v>0.00123290186070826</v>
      </c>
      <c r="AS117" s="220" t="n">
        <f aca="false">Algae_electricity_factor/W117</f>
        <v>0.00119145812161951</v>
      </c>
      <c r="AT117" s="220" t="n">
        <f aca="false">Algae_electricity_factor/X117</f>
        <v>0.00116461839268153</v>
      </c>
      <c r="AU117" s="220" t="n">
        <f aca="false">Algae_electricity_factor/Y117</f>
        <v>0.00114765986237959</v>
      </c>
      <c r="AV117" s="220" t="n">
        <f aca="false">Algae_electricity_factor/Z117</f>
        <v>0.00113711110843772</v>
      </c>
      <c r="AW117" s="220" t="n">
        <f aca="false">Algae_electricity_factor/AA117</f>
        <v>0.00113061320003839</v>
      </c>
      <c r="AX117" s="220" t="n">
        <f aca="false">Algae_electricity_factor/AB117</f>
        <v>0.00112663461176001</v>
      </c>
      <c r="AY117" s="220" t="n">
        <f aca="false">Algae_electricity_factor/AC117</f>
        <v>0.00112420755361966</v>
      </c>
      <c r="AZ117" s="221" t="n">
        <f aca="false">Algae_yield_cost_factor/H117</f>
        <v>0.124055247682649</v>
      </c>
      <c r="BA117" s="197" t="n">
        <f aca="false">Algae_yield_cost_factor/I117</f>
        <v>0.124055247682649</v>
      </c>
      <c r="BB117" s="197" t="n">
        <f aca="false">Algae_yield_cost_factor/J117</f>
        <v>0.124055247682649</v>
      </c>
      <c r="BC117" s="197" t="n">
        <f aca="false">Algae_yield_cost_factor/K117</f>
        <v>0.124055247682649</v>
      </c>
      <c r="BD117" s="197" t="n">
        <f aca="false">Algae_yield_cost_factor/L117</f>
        <v>0.124055247682649</v>
      </c>
      <c r="BE117" s="197" t="n">
        <f aca="false">Algae_yield_cost_factor/M117</f>
        <v>0.118438212058199</v>
      </c>
      <c r="BF117" s="197" t="n">
        <f aca="false">Algae_yield_cost_factor/N117</f>
        <v>0.115308179076353</v>
      </c>
      <c r="BG117" s="197" t="n">
        <f aca="false">Algae_yield_cost_factor/O117</f>
        <v>0.110842498032897</v>
      </c>
      <c r="BH117" s="197" t="n">
        <f aca="false">Algae_yield_cost_factor/P117</f>
        <v>0.104915908177711</v>
      </c>
      <c r="BI117" s="197" t="n">
        <f aca="false">Algae_yield_cost_factor/Q117</f>
        <v>0.0977627852582152</v>
      </c>
      <c r="BJ117" s="197" t="n">
        <f aca="false">Algae_yield_cost_factor/R117</f>
        <v>0.0900555972629708</v>
      </c>
      <c r="BK117" s="197" t="n">
        <f aca="false">Algae_yield_cost_factor/S117</f>
        <v>0.0827034984550995</v>
      </c>
      <c r="BL117" s="197" t="n">
        <f aca="false">Algae_yield_cost_factor/T117</f>
        <v>0.0764612371459283</v>
      </c>
      <c r="BM117" s="197" t="n">
        <f aca="false">Algae_yield_cost_factor/U117</f>
        <v>0.0716643845645184</v>
      </c>
      <c r="BN117" s="197" t="n">
        <f aca="false">Algae_yield_cost_factor/V117</f>
        <v>0.0682531853893796</v>
      </c>
      <c r="BO117" s="197" t="n">
        <f aca="false">Algae_yield_cost_factor/W117</f>
        <v>0.0659588687877088</v>
      </c>
      <c r="BP117" s="197" t="n">
        <f aca="false">Algae_yield_cost_factor/X117</f>
        <v>0.0644730270890422</v>
      </c>
      <c r="BQ117" s="197" t="n">
        <f aca="false">Algae_yield_cost_factor/Y117</f>
        <v>0.0635342064500944</v>
      </c>
      <c r="BR117" s="197" t="n">
        <f aca="false">Algae_yield_cost_factor/Z117</f>
        <v>0.062950229670298</v>
      </c>
      <c r="BS117" s="197" t="n">
        <f aca="false">Algae_yield_cost_factor/AA117</f>
        <v>0.062590506840155</v>
      </c>
      <c r="BT117" s="197" t="n">
        <f aca="false">Algae_yield_cost_factor/AB117</f>
        <v>0.0623702530373129</v>
      </c>
      <c r="BU117" s="197" t="n">
        <f aca="false">Algae_yield_cost_factor/AC117</f>
        <v>0.0622358916136798</v>
      </c>
    </row>
    <row r="118" customFormat="false" ht="15" hidden="false" customHeight="false" outlineLevel="0" collapsed="false">
      <c r="A118" s="18" t="s">
        <v>708</v>
      </c>
      <c r="B118" s="18" t="s">
        <v>22</v>
      </c>
      <c r="C118" s="18" t="s">
        <v>687</v>
      </c>
      <c r="D118" s="18" t="s">
        <v>687</v>
      </c>
      <c r="E118" s="28" t="n">
        <v>6.2615385</v>
      </c>
      <c r="F118" s="185" t="n">
        <f aca="false">E118/$B$2*$F$3/1000</f>
        <v>0.015340769325</v>
      </c>
      <c r="G118" s="18" t="n">
        <f aca="false">LOOKUP(RIGHT(D118,5),Ref!$C$4:$C$21,Ref!$E$4:$E$21)*$G$3</f>
        <v>4.5</v>
      </c>
      <c r="H118" s="218" t="n">
        <f aca="false">$E118</f>
        <v>6.2615385</v>
      </c>
      <c r="I118" s="177" t="n">
        <f aca="false">$E118</f>
        <v>6.2615385</v>
      </c>
      <c r="J118" s="177" t="n">
        <f aca="false">$E118</f>
        <v>6.2615385</v>
      </c>
      <c r="K118" s="177" t="n">
        <f aca="false">$E118</f>
        <v>6.2615385</v>
      </c>
      <c r="L118" s="177" t="n">
        <f aca="false">$E118</f>
        <v>6.2615385</v>
      </c>
      <c r="M118" s="177" t="n">
        <f aca="false">M$3*$E118</f>
        <v>6.55849743079745</v>
      </c>
      <c r="N118" s="177" t="n">
        <f aca="false">N$3*$E118</f>
        <v>6.73652741474295</v>
      </c>
      <c r="O118" s="177" t="n">
        <f aca="false">O$3*$E118</f>
        <v>7.00793218555399</v>
      </c>
      <c r="P118" s="177" t="n">
        <f aca="false">P$3*$E118</f>
        <v>7.40380294069617</v>
      </c>
      <c r="Q118" s="177" t="n">
        <f aca="false">Q$3*$E118</f>
        <v>7.94552556415295</v>
      </c>
      <c r="R118" s="177" t="n">
        <f aca="false">R$3*$E118</f>
        <v>8.62552393299534</v>
      </c>
      <c r="S118" s="177" t="n">
        <f aca="false">S$3*$E118</f>
        <v>9.39230775</v>
      </c>
      <c r="T118" s="177" t="n">
        <f aca="false">T$3*$E118</f>
        <v>10.1590915670047</v>
      </c>
      <c r="U118" s="177" t="n">
        <f aca="false">U$3*$E118</f>
        <v>10.8390899358471</v>
      </c>
      <c r="V118" s="177" t="n">
        <f aca="false">V$3*$E118</f>
        <v>11.3808125593038</v>
      </c>
      <c r="W118" s="177" t="n">
        <f aca="false">W$3*$E118</f>
        <v>11.776683314446</v>
      </c>
      <c r="X118" s="177" t="n">
        <f aca="false">X$3*$E118</f>
        <v>12.0480880852571</v>
      </c>
      <c r="Y118" s="177" t="n">
        <f aca="false">Y$3*$E118</f>
        <v>12.2261180692026</v>
      </c>
      <c r="Z118" s="177" t="n">
        <f aca="false">Z$3*$E118</f>
        <v>12.3395373386295</v>
      </c>
      <c r="AA118" s="177" t="n">
        <f aca="false">AA$3*$E118</f>
        <v>12.4104556538533</v>
      </c>
      <c r="AB118" s="177" t="n">
        <f aca="false">AB$3*$E118</f>
        <v>12.4542818357213</v>
      </c>
      <c r="AC118" s="177" t="n">
        <f aca="false">AC$3*$E118</f>
        <v>12.4811694562628</v>
      </c>
      <c r="AD118" s="219" t="n">
        <f aca="false">Algae_electricity_factor/H118</f>
        <v>0.00219492335686018</v>
      </c>
      <c r="AE118" s="220" t="n">
        <f aca="false">Algae_electricity_factor/I118</f>
        <v>0.00219492335686018</v>
      </c>
      <c r="AF118" s="220" t="n">
        <f aca="false">Algae_electricity_factor/J118</f>
        <v>0.00219492335686018</v>
      </c>
      <c r="AG118" s="220" t="n">
        <f aca="false">Algae_electricity_factor/K118</f>
        <v>0.00219492335686018</v>
      </c>
      <c r="AH118" s="220" t="n">
        <f aca="false">Algae_electricity_factor/L118</f>
        <v>0.00219492335686018</v>
      </c>
      <c r="AI118" s="220" t="n">
        <f aca="false">Algae_electricity_factor/M118</f>
        <v>0.00209554051801438</v>
      </c>
      <c r="AJ118" s="220" t="n">
        <f aca="false">Algae_electricity_factor/N118</f>
        <v>0.00204016049477529</v>
      </c>
      <c r="AK118" s="220" t="n">
        <f aca="false">Algae_electricity_factor/O118</f>
        <v>0.00196114870116181</v>
      </c>
      <c r="AL118" s="220" t="n">
        <f aca="false">Algae_electricity_factor/P118</f>
        <v>0.0018562888847278</v>
      </c>
      <c r="AM118" s="220" t="n">
        <f aca="false">Algae_electricity_factor/Q118</f>
        <v>0.00172972788175711</v>
      </c>
      <c r="AN118" s="220" t="n">
        <f aca="false">Algae_electricity_factor/R118</f>
        <v>0.00159336374350034</v>
      </c>
      <c r="AO118" s="220" t="n">
        <f aca="false">Algae_electricity_factor/S118</f>
        <v>0.00146328223790679</v>
      </c>
      <c r="AP118" s="220" t="n">
        <f aca="false">Algae_electricity_factor/T118</f>
        <v>0.0013528372111702</v>
      </c>
      <c r="AQ118" s="220" t="n">
        <f aca="false">Algae_electricity_factor/U118</f>
        <v>0.0012679659625368</v>
      </c>
      <c r="AR118" s="220" t="n">
        <f aca="false">Algae_electricity_factor/V118</f>
        <v>0.00120761123442753</v>
      </c>
      <c r="AS118" s="220" t="n">
        <f aca="false">Algae_electricity_factor/W118</f>
        <v>0.00116701763447018</v>
      </c>
      <c r="AT118" s="220" t="n">
        <f aca="false">Algae_electricity_factor/X118</f>
        <v>0.00114072847129554</v>
      </c>
      <c r="AU118" s="220" t="n">
        <f aca="false">Algae_electricity_factor/Y118</f>
        <v>0.00112411781284439</v>
      </c>
      <c r="AV118" s="220" t="n">
        <f aca="false">Algae_electricity_factor/Z118</f>
        <v>0.00111378544643682</v>
      </c>
      <c r="AW118" s="220" t="n">
        <f aca="false">Algae_electricity_factor/AA118</f>
        <v>0.00110742083021441</v>
      </c>
      <c r="AX118" s="220" t="n">
        <f aca="false">Algae_electricity_factor/AB118</f>
        <v>0.00110352385507368</v>
      </c>
      <c r="AY118" s="220" t="n">
        <f aca="false">Algae_electricity_factor/AC118</f>
        <v>0.00110114658339431</v>
      </c>
      <c r="AZ118" s="221" t="n">
        <f aca="false">Algae_yield_cost_factor/H118</f>
        <v>0.121510491277218</v>
      </c>
      <c r="BA118" s="197" t="n">
        <f aca="false">Algae_yield_cost_factor/I118</f>
        <v>0.121510491277218</v>
      </c>
      <c r="BB118" s="197" t="n">
        <f aca="false">Algae_yield_cost_factor/J118</f>
        <v>0.121510491277218</v>
      </c>
      <c r="BC118" s="197" t="n">
        <f aca="false">Algae_yield_cost_factor/K118</f>
        <v>0.121510491277218</v>
      </c>
      <c r="BD118" s="197" t="n">
        <f aca="false">Algae_yield_cost_factor/L118</f>
        <v>0.121510491277218</v>
      </c>
      <c r="BE118" s="197" t="n">
        <f aca="false">Algae_yield_cost_factor/M118</f>
        <v>0.116008678407564</v>
      </c>
      <c r="BF118" s="197" t="n">
        <f aca="false">Algae_yield_cost_factor/N118</f>
        <v>0.112942852072584</v>
      </c>
      <c r="BG118" s="197" t="n">
        <f aca="false">Algae_yield_cost_factor/O118</f>
        <v>0.108568775944294</v>
      </c>
      <c r="BH118" s="197" t="n">
        <f aca="false">Algae_yield_cost_factor/P118</f>
        <v>0.10276375875756</v>
      </c>
      <c r="BI118" s="197" t="n">
        <f aca="false">Algae_yield_cost_factor/Q118</f>
        <v>0.0957573684891075</v>
      </c>
      <c r="BJ118" s="197" t="n">
        <f aca="false">Algae_yield_cost_factor/R118</f>
        <v>0.0882082787314236</v>
      </c>
      <c r="BK118" s="197" t="n">
        <f aca="false">Algae_yield_cost_factor/S118</f>
        <v>0.0810069941848123</v>
      </c>
      <c r="BL118" s="197" t="n">
        <f aca="false">Algae_yield_cost_factor/T118</f>
        <v>0.0748927809408993</v>
      </c>
      <c r="BM118" s="197" t="n">
        <f aca="false">Algae_yield_cost_factor/U118</f>
        <v>0.070194326626072</v>
      </c>
      <c r="BN118" s="197" t="n">
        <f aca="false">Algae_yield_cost_factor/V118</f>
        <v>0.0668531016851014</v>
      </c>
      <c r="BO118" s="197" t="n">
        <f aca="false">Algae_yield_cost_factor/W118</f>
        <v>0.0646058486053472</v>
      </c>
      <c r="BP118" s="197" t="n">
        <f aca="false">Algae_yield_cost_factor/X118</f>
        <v>0.0631504861105093</v>
      </c>
      <c r="BQ118" s="197" t="n">
        <f aca="false">Algae_yield_cost_factor/Y118</f>
        <v>0.0622309235834039</v>
      </c>
      <c r="BR118" s="197" t="n">
        <f aca="false">Algae_yield_cost_factor/Z118</f>
        <v>0.0616589259715892</v>
      </c>
      <c r="BS118" s="197" t="n">
        <f aca="false">Algae_yield_cost_factor/AA118</f>
        <v>0.0613065821680759</v>
      </c>
      <c r="BT118" s="197" t="n">
        <f aca="false">Algae_yield_cost_factor/AB118</f>
        <v>0.0610908464512162</v>
      </c>
      <c r="BU118" s="197" t="n">
        <f aca="false">Algae_yield_cost_factor/AC118</f>
        <v>0.0609592411954987</v>
      </c>
    </row>
    <row r="119" customFormat="false" ht="15" hidden="false" customHeight="false" outlineLevel="0" collapsed="false">
      <c r="A119" s="18" t="s">
        <v>708</v>
      </c>
      <c r="B119" s="18" t="s">
        <v>22</v>
      </c>
      <c r="C119" s="18" t="s">
        <v>688</v>
      </c>
      <c r="D119" s="18" t="s">
        <v>688</v>
      </c>
      <c r="E119" s="28" t="n">
        <v>6.485758</v>
      </c>
      <c r="F119" s="185" t="n">
        <f aca="false">E119/$B$2*$F$3/1000</f>
        <v>0.0158901071</v>
      </c>
      <c r="G119" s="18" t="n">
        <f aca="false">LOOKUP(RIGHT(D119,5),Ref!$C$4:$C$21,Ref!$E$4:$E$21)*$G$3</f>
        <v>4.5</v>
      </c>
      <c r="H119" s="218" t="n">
        <f aca="false">$E119</f>
        <v>6.485758</v>
      </c>
      <c r="I119" s="177" t="n">
        <f aca="false">$E119</f>
        <v>6.485758</v>
      </c>
      <c r="J119" s="177" t="n">
        <f aca="false">$E119</f>
        <v>6.485758</v>
      </c>
      <c r="K119" s="177" t="n">
        <f aca="false">$E119</f>
        <v>6.485758</v>
      </c>
      <c r="L119" s="177" t="n">
        <f aca="false">$E119</f>
        <v>6.485758</v>
      </c>
      <c r="M119" s="177" t="n">
        <f aca="false">M$3*$E119</f>
        <v>6.79335073636839</v>
      </c>
      <c r="N119" s="177" t="n">
        <f aca="false">N$3*$E119</f>
        <v>6.97775579793822</v>
      </c>
      <c r="O119" s="177" t="n">
        <f aca="false">O$3*$E119</f>
        <v>7.25887930512833</v>
      </c>
      <c r="P119" s="177" t="n">
        <f aca="false">P$3*$E119</f>
        <v>7.66892580043127</v>
      </c>
      <c r="Q119" s="177" t="n">
        <f aca="false">Q$3*$E119</f>
        <v>8.23004697518182</v>
      </c>
      <c r="R119" s="177" t="n">
        <f aca="false">R$3*$E119</f>
        <v>8.93439541298292</v>
      </c>
      <c r="S119" s="177" t="n">
        <f aca="false">S$3*$E119</f>
        <v>9.728637</v>
      </c>
      <c r="T119" s="177" t="n">
        <f aca="false">T$3*$E119</f>
        <v>10.5228785870171</v>
      </c>
      <c r="U119" s="177" t="n">
        <f aca="false">U$3*$E119</f>
        <v>11.2272270248182</v>
      </c>
      <c r="V119" s="177" t="n">
        <f aca="false">V$3*$E119</f>
        <v>11.7883481995687</v>
      </c>
      <c r="W119" s="177" t="n">
        <f aca="false">W$3*$E119</f>
        <v>12.1983946948717</v>
      </c>
      <c r="X119" s="177" t="n">
        <f aca="false">X$3*$E119</f>
        <v>12.4795182020618</v>
      </c>
      <c r="Y119" s="177" t="n">
        <f aca="false">Y$3*$E119</f>
        <v>12.6639232636316</v>
      </c>
      <c r="Z119" s="177" t="n">
        <f aca="false">Z$3*$E119</f>
        <v>12.7814039649065</v>
      </c>
      <c r="AA119" s="177" t="n">
        <f aca="false">AA$3*$E119</f>
        <v>12.8548617948487</v>
      </c>
      <c r="AB119" s="177" t="n">
        <f aca="false">AB$3*$E119</f>
        <v>12.9002573489381</v>
      </c>
      <c r="AC119" s="177" t="n">
        <f aca="false">AC$3*$E119</f>
        <v>12.928107788575</v>
      </c>
      <c r="AD119" s="219" t="n">
        <f aca="false">Algae_electricity_factor/H119</f>
        <v>0.00211904253959665</v>
      </c>
      <c r="AE119" s="220" t="n">
        <f aca="false">Algae_electricity_factor/I119</f>
        <v>0.00211904253959665</v>
      </c>
      <c r="AF119" s="220" t="n">
        <f aca="false">Algae_electricity_factor/J119</f>
        <v>0.00211904253959665</v>
      </c>
      <c r="AG119" s="220" t="n">
        <f aca="false">Algae_electricity_factor/K119</f>
        <v>0.00211904253959665</v>
      </c>
      <c r="AH119" s="220" t="n">
        <f aca="false">Algae_electricity_factor/L119</f>
        <v>0.00211904253959665</v>
      </c>
      <c r="AI119" s="220" t="n">
        <f aca="false">Algae_electricity_factor/M119</f>
        <v>0.00202309547039174</v>
      </c>
      <c r="AJ119" s="220" t="n">
        <f aca="false">Algae_electricity_factor/N119</f>
        <v>0.00196962999301154</v>
      </c>
      <c r="AK119" s="220" t="n">
        <f aca="false">Algae_electricity_factor/O119</f>
        <v>0.00189334972050294</v>
      </c>
      <c r="AL119" s="220" t="n">
        <f aca="false">Algae_electricity_factor/P119</f>
        <v>0.00179211501860618</v>
      </c>
      <c r="AM119" s="220" t="n">
        <f aca="false">Algae_electricity_factor/Q119</f>
        <v>0.00166992936309767</v>
      </c>
      <c r="AN119" s="220" t="n">
        <f aca="false">Algae_electricity_factor/R119</f>
        <v>0.00153827947703746</v>
      </c>
      <c r="AO119" s="220" t="n">
        <f aca="false">Algae_electricity_factor/S119</f>
        <v>0.00141269502639776</v>
      </c>
      <c r="AP119" s="220" t="n">
        <f aca="false">Algae_electricity_factor/T119</f>
        <v>0.00130606820081397</v>
      </c>
      <c r="AQ119" s="220" t="n">
        <f aca="false">Algae_electricity_factor/U119</f>
        <v>0.00122413104083035</v>
      </c>
      <c r="AR119" s="220" t="n">
        <f aca="false">Algae_electricity_factor/V119</f>
        <v>0.0011658628393783</v>
      </c>
      <c r="AS119" s="220" t="n">
        <f aca="false">Algae_electricity_factor/W119</f>
        <v>0.00112667260301941</v>
      </c>
      <c r="AT119" s="220" t="n">
        <f aca="false">Algae_electricity_factor/X119</f>
        <v>0.00110129228396483</v>
      </c>
      <c r="AU119" s="220" t="n">
        <f aca="false">Algae_electricity_factor/Y119</f>
        <v>0.00108525587350946</v>
      </c>
      <c r="AV119" s="220" t="n">
        <f aca="false">Algae_electricity_factor/Z119</f>
        <v>0.00107528070791476</v>
      </c>
      <c r="AW119" s="220" t="n">
        <f aca="false">Algae_electricity_factor/AA119</f>
        <v>0.00106913612319323</v>
      </c>
      <c r="AX119" s="220" t="n">
        <f aca="false">Algae_electricity_factor/AB119</f>
        <v>0.00106537387059651</v>
      </c>
      <c r="AY119" s="220" t="n">
        <f aca="false">Algae_electricity_factor/AC119</f>
        <v>0.00106307878370839</v>
      </c>
      <c r="AZ119" s="221" t="n">
        <f aca="false">Algae_yield_cost_factor/H119</f>
        <v>0.117309745335274</v>
      </c>
      <c r="BA119" s="197" t="n">
        <f aca="false">Algae_yield_cost_factor/I119</f>
        <v>0.117309745335274</v>
      </c>
      <c r="BB119" s="197" t="n">
        <f aca="false">Algae_yield_cost_factor/J119</f>
        <v>0.117309745335274</v>
      </c>
      <c r="BC119" s="197" t="n">
        <f aca="false">Algae_yield_cost_factor/K119</f>
        <v>0.117309745335274</v>
      </c>
      <c r="BD119" s="197" t="n">
        <f aca="false">Algae_yield_cost_factor/L119</f>
        <v>0.117309745335274</v>
      </c>
      <c r="BE119" s="197" t="n">
        <f aca="false">Algae_yield_cost_factor/M119</f>
        <v>0.111998135943876</v>
      </c>
      <c r="BF119" s="197" t="n">
        <f aca="false">Algae_yield_cost_factor/N119</f>
        <v>0.109038298461381</v>
      </c>
      <c r="BG119" s="197" t="n">
        <f aca="false">Algae_yield_cost_factor/O119</f>
        <v>0.104815438761833</v>
      </c>
      <c r="BH119" s="197" t="n">
        <f aca="false">Algae_yield_cost_factor/P119</f>
        <v>0.0992111071466399</v>
      </c>
      <c r="BI119" s="197" t="n">
        <f aca="false">Algae_yield_cost_factor/Q119</f>
        <v>0.0924469351852526</v>
      </c>
      <c r="BJ119" s="197" t="n">
        <f aca="false">Algae_yield_cost_factor/R119</f>
        <v>0.0851588254288149</v>
      </c>
      <c r="BK119" s="197" t="n">
        <f aca="false">Algae_yield_cost_factor/S119</f>
        <v>0.0782064968901829</v>
      </c>
      <c r="BL119" s="197" t="n">
        <f aca="false">Algae_yield_cost_factor/T119</f>
        <v>0.0723036584518737</v>
      </c>
      <c r="BM119" s="197" t="n">
        <f aca="false">Algae_yield_cost_factor/U119</f>
        <v>0.0677676346620896</v>
      </c>
      <c r="BN119" s="197" t="n">
        <f aca="false">Algae_yield_cost_factor/V119</f>
        <v>0.0645419193941058</v>
      </c>
      <c r="BO119" s="197" t="n">
        <f aca="false">Algae_yield_cost_factor/W119</f>
        <v>0.0623723562253715</v>
      </c>
      <c r="BP119" s="197" t="n">
        <f aca="false">Algae_yield_cost_factor/X119</f>
        <v>0.0609673071481651</v>
      </c>
      <c r="BQ119" s="197" t="n">
        <f aca="false">Algae_yield_cost_factor/Y119</f>
        <v>0.0600795348682516</v>
      </c>
      <c r="BR119" s="197" t="n">
        <f aca="false">Algae_yield_cost_factor/Z119</f>
        <v>0.0595273118176404</v>
      </c>
      <c r="BS119" s="197" t="n">
        <f aca="false">Algae_yield_cost_factor/AA119</f>
        <v>0.0591871489113255</v>
      </c>
      <c r="BT119" s="197" t="n">
        <f aca="false">Algae_yield_cost_factor/AB119</f>
        <v>0.0589788714059141</v>
      </c>
      <c r="BU119" s="197" t="n">
        <f aca="false">Algae_yield_cost_factor/AC119</f>
        <v>0.0588518158828007</v>
      </c>
    </row>
    <row r="120" customFormat="false" ht="13.8" hidden="false" customHeight="false" outlineLevel="0" collapsed="false">
      <c r="A120" s="18" t="s">
        <v>709</v>
      </c>
      <c r="B120" s="18" t="s">
        <v>22</v>
      </c>
      <c r="C120" s="18" t="s">
        <v>693</v>
      </c>
      <c r="D120" s="18" t="s">
        <v>693</v>
      </c>
      <c r="E120" s="28" t="n">
        <v>4.71215</v>
      </c>
      <c r="F120" s="185" t="n">
        <f aca="false">E120/$B$2*$F$3/1000</f>
        <v>0.0115447675</v>
      </c>
      <c r="G120" s="18" t="n">
        <f aca="false">LOOKUP(RIGHT(D120,5),Ref!$C$4:$C$21,Ref!$E$4:$E$21)*$G$3</f>
        <v>3</v>
      </c>
      <c r="H120" s="218" t="n">
        <f aca="false">$E120</f>
        <v>4.71215</v>
      </c>
      <c r="I120" s="177" t="n">
        <f aca="false">$E120</f>
        <v>4.71215</v>
      </c>
      <c r="J120" s="177" t="n">
        <f aca="false">$E120</f>
        <v>4.71215</v>
      </c>
      <c r="K120" s="177" t="n">
        <f aca="false">$E120</f>
        <v>4.71215</v>
      </c>
      <c r="L120" s="177" t="n">
        <f aca="false">$E120</f>
        <v>4.71215</v>
      </c>
      <c r="M120" s="177" t="n">
        <f aca="false">M$3*$E120</f>
        <v>4.93562782829367</v>
      </c>
      <c r="N120" s="177" t="n">
        <f aca="false">N$3*$E120</f>
        <v>5.0696051229871</v>
      </c>
      <c r="O120" s="177" t="n">
        <f aca="false">O$3*$E120</f>
        <v>5.27385204900652</v>
      </c>
      <c r="P120" s="177" t="n">
        <f aca="false">P$3*$E120</f>
        <v>5.57176643200412</v>
      </c>
      <c r="Q120" s="177" t="n">
        <f aca="false">Q$3*$E120</f>
        <v>5.97944231870862</v>
      </c>
      <c r="R120" s="177" t="n">
        <f aca="false">R$3*$E120</f>
        <v>6.49117826247718</v>
      </c>
      <c r="S120" s="177" t="n">
        <f aca="false">S$3*$E120</f>
        <v>7.068225</v>
      </c>
      <c r="T120" s="177" t="n">
        <f aca="false">T$3*$E120</f>
        <v>7.64527173752282</v>
      </c>
      <c r="U120" s="177" t="n">
        <f aca="false">U$3*$E120</f>
        <v>8.15700768129138</v>
      </c>
      <c r="V120" s="177" t="n">
        <f aca="false">V$3*$E120</f>
        <v>8.56468356799588</v>
      </c>
      <c r="W120" s="177" t="n">
        <f aca="false">W$3*$E120</f>
        <v>8.86259795099348</v>
      </c>
      <c r="X120" s="177" t="n">
        <f aca="false">X$3*$E120</f>
        <v>9.0668448770129</v>
      </c>
      <c r="Y120" s="177" t="n">
        <f aca="false">Y$3*$E120</f>
        <v>9.20082217170633</v>
      </c>
      <c r="Z120" s="177" t="n">
        <f aca="false">Z$3*$E120</f>
        <v>9.286176371865</v>
      </c>
      <c r="AA120" s="177" t="n">
        <f aca="false">AA$3*$E120</f>
        <v>9.33954628072713</v>
      </c>
      <c r="AB120" s="177" t="n">
        <f aca="false">AB$3*$E120</f>
        <v>9.37252787828325</v>
      </c>
      <c r="AC120" s="177" t="n">
        <f aca="false">AC$3*$E120</f>
        <v>9.39276228251713</v>
      </c>
      <c r="AD120" s="219" t="n">
        <f aca="false">Algae_electricity_factor/H120</f>
        <v>0.00291662979818751</v>
      </c>
      <c r="AE120" s="220" t="n">
        <f aca="false">Algae_electricity_factor/I120</f>
        <v>0.00291662979818751</v>
      </c>
      <c r="AF120" s="220" t="n">
        <f aca="false">Algae_electricity_factor/J120</f>
        <v>0.00291662979818751</v>
      </c>
      <c r="AG120" s="220" t="n">
        <f aca="false">Algae_electricity_factor/K120</f>
        <v>0.00291662979818751</v>
      </c>
      <c r="AH120" s="220" t="n">
        <f aca="false">Algae_electricity_factor/L120</f>
        <v>0.00291662979818751</v>
      </c>
      <c r="AI120" s="220" t="n">
        <f aca="false">Algae_electricity_factor/M120</f>
        <v>0.00278456917370138</v>
      </c>
      <c r="AJ120" s="220" t="n">
        <f aca="false">Algae_electricity_factor/N120</f>
        <v>0.00271097980416891</v>
      </c>
      <c r="AK120" s="220" t="n">
        <f aca="false">Algae_electricity_factor/O120</f>
        <v>0.00260598836975684</v>
      </c>
      <c r="AL120" s="220" t="n">
        <f aca="false">Algae_electricity_factor/P120</f>
        <v>0.00246664989842114</v>
      </c>
      <c r="AM120" s="220" t="n">
        <f aca="false">Algae_electricity_factor/Q120</f>
        <v>0.00229847473576724</v>
      </c>
      <c r="AN120" s="220" t="n">
        <f aca="false">Algae_electricity_factor/R120</f>
        <v>0.00211727309708552</v>
      </c>
      <c r="AO120" s="220" t="n">
        <f aca="false">Algae_electricity_factor/S120</f>
        <v>0.00194441986545834</v>
      </c>
      <c r="AP120" s="220" t="n">
        <f aca="false">Algae_electricity_factor/T120</f>
        <v>0.00179765972687092</v>
      </c>
      <c r="AQ120" s="220" t="n">
        <f aca="false">Algae_electricity_factor/U120</f>
        <v>0.00168488220687239</v>
      </c>
      <c r="AR120" s="220" t="n">
        <f aca="false">Algae_electricity_factor/V120</f>
        <v>0.00160468241405739</v>
      </c>
      <c r="AS120" s="220" t="n">
        <f aca="false">Algae_electricity_factor/W120</f>
        <v>0.00155074134915357</v>
      </c>
      <c r="AT120" s="220" t="n">
        <f aca="false">Algae_electricity_factor/X120</f>
        <v>0.00151580812178372</v>
      </c>
      <c r="AU120" s="220" t="n">
        <f aca="false">Algae_electricity_factor/Y120</f>
        <v>0.00149373576046199</v>
      </c>
      <c r="AV120" s="220" t="n">
        <f aca="false">Algae_electricity_factor/Z120</f>
        <v>0.00148000603834849</v>
      </c>
      <c r="AW120" s="220" t="n">
        <f aca="false">Algae_electricity_factor/AA120</f>
        <v>0.00147154869095624</v>
      </c>
      <c r="AX120" s="220" t="n">
        <f aca="false">Algae_electricity_factor/AB120</f>
        <v>0.0014663703626184</v>
      </c>
      <c r="AY120" s="220" t="n">
        <f aca="false">Algae_electricity_factor/AC120</f>
        <v>0.0014632114270698</v>
      </c>
      <c r="AZ120" s="221" t="n">
        <f aca="false">Algae_yield_cost_factor/H120</f>
        <v>0.161464006724365</v>
      </c>
      <c r="BA120" s="197" t="n">
        <f aca="false">Algae_yield_cost_factor/I120</f>
        <v>0.161464006724365</v>
      </c>
      <c r="BB120" s="197" t="n">
        <f aca="false">Algae_yield_cost_factor/J120</f>
        <v>0.161464006724365</v>
      </c>
      <c r="BC120" s="197" t="n">
        <f aca="false">Algae_yield_cost_factor/K120</f>
        <v>0.161464006724365</v>
      </c>
      <c r="BD120" s="197" t="n">
        <f aca="false">Algae_yield_cost_factor/L120</f>
        <v>0.161464006724365</v>
      </c>
      <c r="BE120" s="197" t="n">
        <f aca="false">Algae_yield_cost_factor/M120</f>
        <v>0.154153158575827</v>
      </c>
      <c r="BF120" s="197" t="n">
        <f aca="false">Algae_yield_cost_factor/N120</f>
        <v>0.150079266694033</v>
      </c>
      <c r="BG120" s="197" t="n">
        <f aca="false">Algae_yield_cost_factor/O120</f>
        <v>0.144266963163964</v>
      </c>
      <c r="BH120" s="197" t="n">
        <f aca="false">Algae_yield_cost_factor/P120</f>
        <v>0.136553214958178</v>
      </c>
      <c r="BI120" s="197" t="n">
        <f aca="false">Algae_yield_cost_factor/Q120</f>
        <v>0.127243073640108</v>
      </c>
      <c r="BJ120" s="197" t="n">
        <f aca="false">Algae_yield_cost_factor/R120</f>
        <v>0.117211789373331</v>
      </c>
      <c r="BK120" s="197" t="n">
        <f aca="false">Algae_yield_cost_factor/S120</f>
        <v>0.107642671149577</v>
      </c>
      <c r="BL120" s="197" t="n">
        <f aca="false">Algae_yield_cost_factor/T120</f>
        <v>0.0995180610195998</v>
      </c>
      <c r="BM120" s="197" t="n">
        <f aca="false">Algae_yield_cost_factor/U120</f>
        <v>0.0932747214436563</v>
      </c>
      <c r="BN120" s="197" t="n">
        <f aca="false">Algae_yield_cost_factor/V120</f>
        <v>0.0888348779316611</v>
      </c>
      <c r="BO120" s="197" t="n">
        <f aca="false">Algae_yield_cost_factor/W120</f>
        <v>0.085848712024777</v>
      </c>
      <c r="BP120" s="197" t="n">
        <f aca="false">Algae_yield_cost_factor/X120</f>
        <v>0.0839148159703467</v>
      </c>
      <c r="BQ120" s="197" t="n">
        <f aca="false">Algae_yield_cost_factor/Y120</f>
        <v>0.0826928947312886</v>
      </c>
      <c r="BR120" s="197" t="n">
        <f aca="false">Algae_yield_cost_factor/Z120</f>
        <v>0.0819328202285063</v>
      </c>
      <c r="BS120" s="197" t="n">
        <f aca="false">Algae_yield_cost_factor/AA120</f>
        <v>0.0814646232715046</v>
      </c>
      <c r="BT120" s="197" t="n">
        <f aca="false">Algae_yield_cost_factor/AB120</f>
        <v>0.0811779521135529</v>
      </c>
      <c r="BU120" s="197" t="n">
        <f aca="false">Algae_yield_cost_factor/AC120</f>
        <v>0.0810030741119025</v>
      </c>
    </row>
    <row r="121" customFormat="false" ht="13.8" hidden="false" customHeight="false" outlineLevel="0" collapsed="false">
      <c r="A121" s="18" t="s">
        <v>709</v>
      </c>
      <c r="B121" s="18" t="s">
        <v>22</v>
      </c>
      <c r="C121" s="18" t="s">
        <v>694</v>
      </c>
      <c r="D121" s="18" t="s">
        <v>694</v>
      </c>
      <c r="E121" s="28" t="n">
        <v>4.805225</v>
      </c>
      <c r="F121" s="185" t="n">
        <f aca="false">E121/$B$2*$F$3/1000</f>
        <v>0.01177280125</v>
      </c>
      <c r="G121" s="18" t="n">
        <f aca="false">LOOKUP(RIGHT(D121,5),Ref!$C$4:$C$21,Ref!$E$4:$E$21)*$G$3</f>
        <v>3</v>
      </c>
      <c r="H121" s="218" t="n">
        <f aca="false">$E121</f>
        <v>4.805225</v>
      </c>
      <c r="I121" s="177" t="n">
        <f aca="false">$E121</f>
        <v>4.805225</v>
      </c>
      <c r="J121" s="177" t="n">
        <f aca="false">$E121</f>
        <v>4.805225</v>
      </c>
      <c r="K121" s="177" t="n">
        <f aca="false">$E121</f>
        <v>4.805225</v>
      </c>
      <c r="L121" s="177" t="n">
        <f aca="false">$E121</f>
        <v>4.805225</v>
      </c>
      <c r="M121" s="177" t="n">
        <f aca="false">M$3*$E121</f>
        <v>5.03311699143967</v>
      </c>
      <c r="N121" s="177" t="n">
        <f aca="false">N$3*$E121</f>
        <v>5.16974062309258</v>
      </c>
      <c r="O121" s="177" t="n">
        <f aca="false">O$3*$E121</f>
        <v>5.37802186097373</v>
      </c>
      <c r="P121" s="177" t="n">
        <f aca="false">P$3*$E121</f>
        <v>5.6818206876324</v>
      </c>
      <c r="Q121" s="177" t="n">
        <f aca="false">Q$3*$E121</f>
        <v>6.09754904150264</v>
      </c>
      <c r="R121" s="177" t="n">
        <f aca="false">R$3*$E121</f>
        <v>6.61939286022557</v>
      </c>
      <c r="S121" s="177" t="n">
        <f aca="false">S$3*$E121</f>
        <v>7.2078375</v>
      </c>
      <c r="T121" s="177" t="n">
        <f aca="false">T$3*$E121</f>
        <v>7.79628213977443</v>
      </c>
      <c r="U121" s="177" t="n">
        <f aca="false">U$3*$E121</f>
        <v>8.31812595849737</v>
      </c>
      <c r="V121" s="177" t="n">
        <f aca="false">V$3*$E121</f>
        <v>8.7338543123676</v>
      </c>
      <c r="W121" s="177" t="n">
        <f aca="false">W$3*$E121</f>
        <v>9.03765313902627</v>
      </c>
      <c r="X121" s="177" t="n">
        <f aca="false">X$3*$E121</f>
        <v>9.24593437690742</v>
      </c>
      <c r="Y121" s="177" t="n">
        <f aca="false">Y$3*$E121</f>
        <v>9.38255800856033</v>
      </c>
      <c r="Z121" s="177" t="n">
        <f aca="false">Z$3*$E121</f>
        <v>9.46959813598781</v>
      </c>
      <c r="AA121" s="177" t="n">
        <f aca="false">AA$3*$E121</f>
        <v>9.52402221423491</v>
      </c>
      <c r="AB121" s="177" t="n">
        <f aca="false">AB$3*$E121</f>
        <v>9.55765526859791</v>
      </c>
      <c r="AC121" s="177" t="n">
        <f aca="false">AC$3*$E121</f>
        <v>9.57828934541735</v>
      </c>
      <c r="AD121" s="219" t="n">
        <f aca="false">Algae_electricity_factor/H121</f>
        <v>0.00286013601933921</v>
      </c>
      <c r="AE121" s="220" t="n">
        <f aca="false">Algae_electricity_factor/I121</f>
        <v>0.00286013601933921</v>
      </c>
      <c r="AF121" s="220" t="n">
        <f aca="false">Algae_electricity_factor/J121</f>
        <v>0.00286013601933921</v>
      </c>
      <c r="AG121" s="220" t="n">
        <f aca="false">Algae_electricity_factor/K121</f>
        <v>0.00286013601933921</v>
      </c>
      <c r="AH121" s="220" t="n">
        <f aca="false">Algae_electricity_factor/L121</f>
        <v>0.00286013601933921</v>
      </c>
      <c r="AI121" s="220" t="n">
        <f aca="false">Algae_electricity_factor/M121</f>
        <v>0.00273063334846068</v>
      </c>
      <c r="AJ121" s="220" t="n">
        <f aca="false">Algae_electricity_factor/N121</f>
        <v>0.00265846937119792</v>
      </c>
      <c r="AK121" s="220" t="n">
        <f aca="false">Algae_electricity_factor/O121</f>
        <v>0.0025555115726214</v>
      </c>
      <c r="AL121" s="220" t="n">
        <f aca="false">Algae_electricity_factor/P121</f>
        <v>0.00241887202344222</v>
      </c>
      <c r="AM121" s="220" t="n">
        <f aca="false">Algae_electricity_factor/Q121</f>
        <v>0.00225395433640373</v>
      </c>
      <c r="AN121" s="220" t="n">
        <f aca="false">Algae_electricity_factor/R121</f>
        <v>0.00207626249019172</v>
      </c>
      <c r="AO121" s="220" t="n">
        <f aca="false">Algae_electricity_factor/S121</f>
        <v>0.00190675734622614</v>
      </c>
      <c r="AP121" s="220" t="n">
        <f aca="false">Algae_electricity_factor/T121</f>
        <v>0.00176283988407927</v>
      </c>
      <c r="AQ121" s="220" t="n">
        <f aca="false">Algae_electricity_factor/U121</f>
        <v>0.00165224681281599</v>
      </c>
      <c r="AR121" s="220" t="n">
        <f aca="false">Algae_electricity_factor/V121</f>
        <v>0.00157360045313185</v>
      </c>
      <c r="AS121" s="220" t="n">
        <f aca="false">Algae_electricity_factor/W121</f>
        <v>0.00152070420186651</v>
      </c>
      <c r="AT121" s="220" t="n">
        <f aca="false">Algae_electricity_factor/X121</f>
        <v>0.00148644761505718</v>
      </c>
      <c r="AU121" s="220" t="n">
        <f aca="false">Algae_electricity_factor/Y121</f>
        <v>0.00146480278523086</v>
      </c>
      <c r="AV121" s="220" t="n">
        <f aca="false">Algae_electricity_factor/Z121</f>
        <v>0.00145133900152518</v>
      </c>
      <c r="AW121" s="220" t="n">
        <f aca="false">Algae_electricity_factor/AA121</f>
        <v>0.00144304546906533</v>
      </c>
      <c r="AX121" s="220" t="n">
        <f aca="false">Algae_electricity_factor/AB121</f>
        <v>0.00143796744256768</v>
      </c>
      <c r="AY121" s="220" t="n">
        <f aca="false">Algae_electricity_factor/AC121</f>
        <v>0.00143486969414896</v>
      </c>
      <c r="AZ121" s="221" t="n">
        <f aca="false">Algae_yield_cost_factor/H121</f>
        <v>0.158336523115196</v>
      </c>
      <c r="BA121" s="197" t="n">
        <f aca="false">Algae_yield_cost_factor/I121</f>
        <v>0.158336523115196</v>
      </c>
      <c r="BB121" s="197" t="n">
        <f aca="false">Algae_yield_cost_factor/J121</f>
        <v>0.158336523115196</v>
      </c>
      <c r="BC121" s="197" t="n">
        <f aca="false">Algae_yield_cost_factor/K121</f>
        <v>0.158336523115196</v>
      </c>
      <c r="BD121" s="197" t="n">
        <f aca="false">Algae_yield_cost_factor/L121</f>
        <v>0.158336523115196</v>
      </c>
      <c r="BE121" s="197" t="n">
        <f aca="false">Algae_yield_cost_factor/M121</f>
        <v>0.151167282735581</v>
      </c>
      <c r="BF121" s="197" t="n">
        <f aca="false">Algae_yield_cost_factor/N121</f>
        <v>0.147172300267373</v>
      </c>
      <c r="BG121" s="197" t="n">
        <f aca="false">Algae_yield_cost_factor/O121</f>
        <v>0.141472578385626</v>
      </c>
      <c r="BH121" s="197" t="n">
        <f aca="false">Algae_yield_cost_factor/P121</f>
        <v>0.133908241937719</v>
      </c>
      <c r="BI121" s="197" t="n">
        <f aca="false">Algae_yield_cost_factor/Q121</f>
        <v>0.124778433778488</v>
      </c>
      <c r="BJ121" s="197" t="n">
        <f aca="false">Algae_yield_cost_factor/R121</f>
        <v>0.114941450878063</v>
      </c>
      <c r="BK121" s="197" t="n">
        <f aca="false">Algae_yield_cost_factor/S121</f>
        <v>0.105557682076797</v>
      </c>
      <c r="BL121" s="197" t="n">
        <f aca="false">Algae_yield_cost_factor/T121</f>
        <v>0.0975904419113584</v>
      </c>
      <c r="BM121" s="197" t="n">
        <f aca="false">Algae_yield_cost_factor/U121</f>
        <v>0.0914680329538627</v>
      </c>
      <c r="BN121" s="197" t="n">
        <f aca="false">Algae_yield_cost_factor/V121</f>
        <v>0.0871141871703567</v>
      </c>
      <c r="BO121" s="197" t="n">
        <f aca="false">Algae_yield_cost_factor/W121</f>
        <v>0.0841858619247908</v>
      </c>
      <c r="BP121" s="197" t="n">
        <f aca="false">Algae_yield_cost_factor/X121</f>
        <v>0.0822894245482093</v>
      </c>
      <c r="BQ121" s="197" t="n">
        <f aca="false">Algae_yield_cost_factor/Y121</f>
        <v>0.0810911713620156</v>
      </c>
      <c r="BR121" s="197" t="n">
        <f aca="false">Algae_yield_cost_factor/Z121</f>
        <v>0.0803458191530586</v>
      </c>
      <c r="BS121" s="197" t="n">
        <f aca="false">Algae_yield_cost_factor/AA121</f>
        <v>0.0798866909559532</v>
      </c>
      <c r="BT121" s="197" t="n">
        <f aca="false">Algae_yield_cost_factor/AB121</f>
        <v>0.0796055724865909</v>
      </c>
      <c r="BU121" s="197" t="n">
        <f aca="false">Algae_yield_cost_factor/AC121</f>
        <v>0.0794340817914669</v>
      </c>
    </row>
    <row r="122" customFormat="false" ht="13.8" hidden="false" customHeight="false" outlineLevel="0" collapsed="false">
      <c r="A122" s="18" t="s">
        <v>709</v>
      </c>
      <c r="B122" s="18" t="s">
        <v>22</v>
      </c>
      <c r="C122" s="18" t="s">
        <v>682</v>
      </c>
      <c r="D122" s="18" t="s">
        <v>682</v>
      </c>
      <c r="E122" s="28" t="n">
        <v>5.523545</v>
      </c>
      <c r="F122" s="185" t="n">
        <f aca="false">E122/$B$2*$F$3/1000</f>
        <v>0.01353268525</v>
      </c>
      <c r="G122" s="18" t="n">
        <f aca="false">LOOKUP(RIGHT(D122,5),Ref!$C$4:$C$21,Ref!$E$4:$E$21)*$G$3</f>
        <v>3</v>
      </c>
      <c r="H122" s="218" t="n">
        <f aca="false">$E122</f>
        <v>5.523545</v>
      </c>
      <c r="I122" s="177" t="n">
        <f aca="false">$E122</f>
        <v>5.523545</v>
      </c>
      <c r="J122" s="177" t="n">
        <f aca="false">$E122</f>
        <v>5.523545</v>
      </c>
      <c r="K122" s="177" t="n">
        <f aca="false">$E122</f>
        <v>5.523545</v>
      </c>
      <c r="L122" s="177" t="n">
        <f aca="false">$E122</f>
        <v>5.523545</v>
      </c>
      <c r="M122" s="177" t="n">
        <f aca="false">M$3*$E122</f>
        <v>5.78550394466058</v>
      </c>
      <c r="N122" s="177" t="n">
        <f aca="false">N$3*$E122</f>
        <v>5.94255107096544</v>
      </c>
      <c r="O122" s="177" t="n">
        <f aca="false">O$3*$E122</f>
        <v>6.18196770392066</v>
      </c>
      <c r="P122" s="177" t="n">
        <f aca="false">P$3*$E122</f>
        <v>6.53118058989298</v>
      </c>
      <c r="Q122" s="177" t="n">
        <f aca="false">Q$3*$E122</f>
        <v>7.00905504330113</v>
      </c>
      <c r="R122" s="177" t="n">
        <f aca="false">R$3*$E122</f>
        <v>7.60890787343665</v>
      </c>
      <c r="S122" s="177" t="n">
        <f aca="false">S$3*$E122</f>
        <v>8.2853175</v>
      </c>
      <c r="T122" s="177" t="n">
        <f aca="false">T$3*$E122</f>
        <v>8.96172712656335</v>
      </c>
      <c r="U122" s="177" t="n">
        <f aca="false">U$3*$E122</f>
        <v>9.56157995669887</v>
      </c>
      <c r="V122" s="177" t="n">
        <f aca="false">V$3*$E122</f>
        <v>10.039454410107</v>
      </c>
      <c r="W122" s="177" t="n">
        <f aca="false">W$3*$E122</f>
        <v>10.3886672960793</v>
      </c>
      <c r="X122" s="177" t="n">
        <f aca="false">X$3*$E122</f>
        <v>10.6280839290346</v>
      </c>
      <c r="Y122" s="177" t="n">
        <f aca="false">Y$3*$E122</f>
        <v>10.7851310553394</v>
      </c>
      <c r="Z122" s="177" t="n">
        <f aca="false">Z$3*$E122</f>
        <v>10.8851825743945</v>
      </c>
      <c r="AA122" s="177" t="n">
        <f aca="false">AA$3*$E122</f>
        <v>10.9477423598949</v>
      </c>
      <c r="AB122" s="177" t="n">
        <f aca="false">AB$3*$E122</f>
        <v>10.9864031279675</v>
      </c>
      <c r="AC122" s="177" t="n">
        <f aca="false">AC$3*$E122</f>
        <v>11.0101217367414</v>
      </c>
      <c r="AD122" s="219" t="n">
        <f aca="false">Algae_electricity_factor/H122</f>
        <v>0.00248818414687112</v>
      </c>
      <c r="AE122" s="220" t="n">
        <f aca="false">Algae_electricity_factor/I122</f>
        <v>0.00248818414687112</v>
      </c>
      <c r="AF122" s="220" t="n">
        <f aca="false">Algae_electricity_factor/J122</f>
        <v>0.00248818414687112</v>
      </c>
      <c r="AG122" s="220" t="n">
        <f aca="false">Algae_electricity_factor/K122</f>
        <v>0.00248818414687112</v>
      </c>
      <c r="AH122" s="220" t="n">
        <f aca="false">Algae_electricity_factor/L122</f>
        <v>0.00248818414687112</v>
      </c>
      <c r="AI122" s="220" t="n">
        <f aca="false">Algae_electricity_factor/M122</f>
        <v>0.00237552289912673</v>
      </c>
      <c r="AJ122" s="220" t="n">
        <f aca="false">Algae_electricity_factor/N122</f>
        <v>0.00231274362464948</v>
      </c>
      <c r="AK122" s="220" t="n">
        <f aca="false">Algae_electricity_factor/O122</f>
        <v>0.00222317517039323</v>
      </c>
      <c r="AL122" s="220" t="n">
        <f aca="false">Algae_electricity_factor/P122</f>
        <v>0.00210430517337057</v>
      </c>
      <c r="AM122" s="220" t="n">
        <f aca="false">Algae_electricity_factor/Q122</f>
        <v>0.00196083452314512</v>
      </c>
      <c r="AN122" s="220" t="n">
        <f aca="false">Algae_electricity_factor/R122</f>
        <v>0.00180625095376819</v>
      </c>
      <c r="AO122" s="220" t="n">
        <f aca="false">Algae_electricity_factor/S122</f>
        <v>0.00165878943124742</v>
      </c>
      <c r="AP122" s="220" t="n">
        <f aca="false">Algae_electricity_factor/T122</f>
        <v>0.00153358799140313</v>
      </c>
      <c r="AQ122" s="220" t="n">
        <f aca="false">Algae_electricity_factor/U122</f>
        <v>0.00143737720813603</v>
      </c>
      <c r="AR122" s="220" t="n">
        <f aca="false">Algae_electricity_factor/V122</f>
        <v>0.00136895856508828</v>
      </c>
      <c r="AS122" s="220" t="n">
        <f aca="false">Algae_electricity_factor/W122</f>
        <v>0.00132294130823846</v>
      </c>
      <c r="AT122" s="220" t="n">
        <f aca="false">Algae_electricity_factor/X122</f>
        <v>0.00129313968494204</v>
      </c>
      <c r="AU122" s="220" t="n">
        <f aca="false">Algae_electricity_factor/Y122</f>
        <v>0.00127430969851082</v>
      </c>
      <c r="AV122" s="220" t="n">
        <f aca="false">Algae_electricity_factor/Z122</f>
        <v>0.0012625968383717</v>
      </c>
      <c r="AW122" s="220" t="n">
        <f aca="false">Algae_electricity_factor/AA122</f>
        <v>0.00125538185424206</v>
      </c>
      <c r="AX122" s="220" t="n">
        <f aca="false">Algae_electricity_factor/AB122</f>
        <v>0.00125096420943656</v>
      </c>
      <c r="AY122" s="220" t="n">
        <f aca="false">Algae_electricity_factor/AC122</f>
        <v>0.00124826931365037</v>
      </c>
      <c r="AZ122" s="221" t="n">
        <f aca="false">Algae_yield_cost_factor/H122</f>
        <v>0.137745346382842</v>
      </c>
      <c r="BA122" s="197" t="n">
        <f aca="false">Algae_yield_cost_factor/I122</f>
        <v>0.137745346382842</v>
      </c>
      <c r="BB122" s="197" t="n">
        <f aca="false">Algae_yield_cost_factor/J122</f>
        <v>0.137745346382842</v>
      </c>
      <c r="BC122" s="197" t="n">
        <f aca="false">Algae_yield_cost_factor/K122</f>
        <v>0.137745346382842</v>
      </c>
      <c r="BD122" s="197" t="n">
        <f aca="false">Algae_yield_cost_factor/L122</f>
        <v>0.137745346382842</v>
      </c>
      <c r="BE122" s="197" t="n">
        <f aca="false">Algae_yield_cost_factor/M122</f>
        <v>0.131508443614216</v>
      </c>
      <c r="BF122" s="197" t="n">
        <f aca="false">Algae_yield_cost_factor/N122</f>
        <v>0.128032996300797</v>
      </c>
      <c r="BG122" s="197" t="n">
        <f aca="false">Algae_yield_cost_factor/O122</f>
        <v>0.123074505679427</v>
      </c>
      <c r="BH122" s="197" t="n">
        <f aca="false">Algae_yield_cost_factor/P122</f>
        <v>0.11649388786824</v>
      </c>
      <c r="BI122" s="197" t="n">
        <f aca="false">Algae_yield_cost_factor/Q122</f>
        <v>0.108551383115958</v>
      </c>
      <c r="BJ122" s="197" t="n">
        <f aca="false">Algae_yield_cost_factor/R122</f>
        <v>0.0999936695175906</v>
      </c>
      <c r="BK122" s="197" t="n">
        <f aca="false">Algae_yield_cost_factor/S122</f>
        <v>0.091830230921895</v>
      </c>
      <c r="BL122" s="197" t="n">
        <f aca="false">Algae_yield_cost_factor/T122</f>
        <v>0.0848991057796229</v>
      </c>
      <c r="BM122" s="197" t="n">
        <f aca="false">Algae_yield_cost_factor/U122</f>
        <v>0.0795728972337013</v>
      </c>
      <c r="BN122" s="197" t="n">
        <f aca="false">Algae_yield_cost_factor/V122</f>
        <v>0.0757852556728835</v>
      </c>
      <c r="BO122" s="197" t="n">
        <f aca="false">Algae_yield_cost_factor/W122</f>
        <v>0.0732377500984518</v>
      </c>
      <c r="BP122" s="197" t="n">
        <f aca="false">Algae_yield_cost_factor/X122</f>
        <v>0.0715879385566097</v>
      </c>
      <c r="BQ122" s="197" t="n">
        <f aca="false">Algae_yield_cost_factor/Y122</f>
        <v>0.070545514503465</v>
      </c>
      <c r="BR122" s="197" t="n">
        <f aca="false">Algae_yield_cost_factor/Z122</f>
        <v>0.0698970930516102</v>
      </c>
      <c r="BS122" s="197" t="n">
        <f aca="false">Algae_yield_cost_factor/AA122</f>
        <v>0.069497673061199</v>
      </c>
      <c r="BT122" s="197" t="n">
        <f aca="false">Algae_yield_cost_factor/AB122</f>
        <v>0.0692531131821826</v>
      </c>
      <c r="BU122" s="197" t="n">
        <f aca="false">Algae_yield_cost_factor/AC122</f>
        <v>0.0691039243233107</v>
      </c>
    </row>
    <row r="123" customFormat="false" ht="15" hidden="false" customHeight="false" outlineLevel="0" collapsed="false">
      <c r="A123" s="18" t="s">
        <v>710</v>
      </c>
      <c r="B123" s="18" t="s">
        <v>22</v>
      </c>
      <c r="C123" s="18" t="s">
        <v>686</v>
      </c>
      <c r="D123" s="18" t="s">
        <v>686</v>
      </c>
      <c r="E123" s="28" t="n">
        <v>4.59243</v>
      </c>
      <c r="F123" s="185" t="n">
        <f aca="false">E123/$B$2*$F$3/1000</f>
        <v>0.0112514535</v>
      </c>
      <c r="G123" s="18" t="n">
        <f aca="false">LOOKUP(RIGHT(D123,5),Ref!$C$4:$C$21,Ref!$E$4:$E$21)*$G$3</f>
        <v>4.5</v>
      </c>
      <c r="H123" s="218" t="n">
        <f aca="false">$E123</f>
        <v>4.59243</v>
      </c>
      <c r="I123" s="177" t="n">
        <f aca="false">$E123</f>
        <v>4.59243</v>
      </c>
      <c r="J123" s="177" t="n">
        <f aca="false">$E123</f>
        <v>4.59243</v>
      </c>
      <c r="K123" s="177" t="n">
        <f aca="false">$E123</f>
        <v>4.59243</v>
      </c>
      <c r="L123" s="177" t="n">
        <f aca="false">$E123</f>
        <v>4.59243</v>
      </c>
      <c r="M123" s="177" t="n">
        <f aca="false">M$3*$E123</f>
        <v>4.81023000275685</v>
      </c>
      <c r="N123" s="177" t="n">
        <f aca="false">N$3*$E123</f>
        <v>4.94080338167496</v>
      </c>
      <c r="O123" s="177" t="n">
        <f aca="false">O$3*$E123</f>
        <v>5.13986107518203</v>
      </c>
      <c r="P123" s="177" t="n">
        <f aca="false">P$3*$E123</f>
        <v>5.43020644829403</v>
      </c>
      <c r="Q123" s="177" t="n">
        <f aca="false">Q$3*$E123</f>
        <v>5.82752465174221</v>
      </c>
      <c r="R123" s="177" t="n">
        <f aca="false">R$3*$E123</f>
        <v>6.32625909360867</v>
      </c>
      <c r="S123" s="177" t="n">
        <f aca="false">S$3*$E123</f>
        <v>6.888645</v>
      </c>
      <c r="T123" s="177" t="n">
        <f aca="false">T$3*$E123</f>
        <v>7.45103090639133</v>
      </c>
      <c r="U123" s="177" t="n">
        <f aca="false">U$3*$E123</f>
        <v>7.94976534825779</v>
      </c>
      <c r="V123" s="177" t="n">
        <f aca="false">V$3*$E123</f>
        <v>8.34708355170598</v>
      </c>
      <c r="W123" s="177" t="n">
        <f aca="false">W$3*$E123</f>
        <v>8.63742892481797</v>
      </c>
      <c r="X123" s="177" t="n">
        <f aca="false">X$3*$E123</f>
        <v>8.83648661832504</v>
      </c>
      <c r="Y123" s="177" t="n">
        <f aca="false">Y$3*$E123</f>
        <v>8.96705999724315</v>
      </c>
      <c r="Z123" s="177" t="n">
        <f aca="false">Z$3*$E123</f>
        <v>9.05024563213055</v>
      </c>
      <c r="AA123" s="177" t="n">
        <f aca="false">AA$3*$E123</f>
        <v>9.10225958978379</v>
      </c>
      <c r="AB123" s="177" t="n">
        <f aca="false">AB$3*$E123</f>
        <v>9.13440323505499</v>
      </c>
      <c r="AC123" s="177" t="n">
        <f aca="false">AC$3*$E123</f>
        <v>9.15412355062979</v>
      </c>
      <c r="AD123" s="219" t="n">
        <f aca="false">Algae_electricity_factor/H123</f>
        <v>0.00299266338377052</v>
      </c>
      <c r="AE123" s="220" t="n">
        <f aca="false">Algae_electricity_factor/I123</f>
        <v>0.00299266338377052</v>
      </c>
      <c r="AF123" s="220" t="n">
        <f aca="false">Algae_electricity_factor/J123</f>
        <v>0.00299266338377052</v>
      </c>
      <c r="AG123" s="220" t="n">
        <f aca="false">Algae_electricity_factor/K123</f>
        <v>0.00299266338377052</v>
      </c>
      <c r="AH123" s="220" t="n">
        <f aca="false">Algae_electricity_factor/L123</f>
        <v>0.00299266338377052</v>
      </c>
      <c r="AI123" s="220" t="n">
        <f aca="false">Algae_electricity_factor/M123</f>
        <v>0.00285716007252304</v>
      </c>
      <c r="AJ123" s="220" t="n">
        <f aca="false">Algae_electricity_factor/N123</f>
        <v>0.00278165230264033</v>
      </c>
      <c r="AK123" s="220" t="n">
        <f aca="false">Algae_electricity_factor/O123</f>
        <v>0.00267392384784301</v>
      </c>
      <c r="AL123" s="220" t="n">
        <f aca="false">Algae_electricity_factor/P123</f>
        <v>0.00253095296364782</v>
      </c>
      <c r="AM123" s="220" t="n">
        <f aca="false">Algae_electricity_factor/Q123</f>
        <v>0.00235839364479058</v>
      </c>
      <c r="AN123" s="220" t="n">
        <f aca="false">Algae_electricity_factor/R123</f>
        <v>0.00217246826286553</v>
      </c>
      <c r="AO123" s="220" t="n">
        <f aca="false">Algae_electricity_factor/S123</f>
        <v>0.00199510892251368</v>
      </c>
      <c r="AP123" s="220" t="n">
        <f aca="false">Algae_electricity_factor/T123</f>
        <v>0.00184452289571639</v>
      </c>
      <c r="AQ123" s="220" t="n">
        <f aca="false">Algae_electricity_factor/U123</f>
        <v>0.00172880537996523</v>
      </c>
      <c r="AR123" s="220" t="n">
        <f aca="false">Algae_electricity_factor/V123</f>
        <v>0.00164651485975845</v>
      </c>
      <c r="AS123" s="220" t="n">
        <f aca="false">Algae_electricity_factor/W123</f>
        <v>0.00159116760591103</v>
      </c>
      <c r="AT123" s="220" t="n">
        <f aca="false">Algae_electricity_factor/X123</f>
        <v>0.00155532370467555</v>
      </c>
      <c r="AU123" s="220" t="n">
        <f aca="false">Algae_electricity_factor/Y123</f>
        <v>0.0015326759392437</v>
      </c>
      <c r="AV123" s="220" t="n">
        <f aca="false">Algae_electricity_factor/Z123</f>
        <v>0.00151858829717684</v>
      </c>
      <c r="AW123" s="220" t="n">
        <f aca="false">Algae_electricity_factor/AA123</f>
        <v>0.00150991047530163</v>
      </c>
      <c r="AX123" s="220" t="n">
        <f aca="false">Algae_electricity_factor/AB123</f>
        <v>0.00150459715318737</v>
      </c>
      <c r="AY123" s="220" t="n">
        <f aca="false">Algae_electricity_factor/AC123</f>
        <v>0.00150135586738762</v>
      </c>
      <c r="AZ123" s="221" t="n">
        <f aca="false">Algae_yield_cost_factor/H123</f>
        <v>0.165673209888059</v>
      </c>
      <c r="BA123" s="197" t="n">
        <f aca="false">Algae_yield_cost_factor/I123</f>
        <v>0.165673209888059</v>
      </c>
      <c r="BB123" s="197" t="n">
        <f aca="false">Algae_yield_cost_factor/J123</f>
        <v>0.165673209888059</v>
      </c>
      <c r="BC123" s="197" t="n">
        <f aca="false">Algae_yield_cost_factor/K123</f>
        <v>0.165673209888059</v>
      </c>
      <c r="BD123" s="197" t="n">
        <f aca="false">Algae_yield_cost_factor/L123</f>
        <v>0.165673209888059</v>
      </c>
      <c r="BE123" s="197" t="n">
        <f aca="false">Algae_yield_cost_factor/M123</f>
        <v>0.158171775330943</v>
      </c>
      <c r="BF123" s="197" t="n">
        <f aca="false">Algae_yield_cost_factor/N123</f>
        <v>0.153991681212841</v>
      </c>
      <c r="BG123" s="197" t="n">
        <f aca="false">Algae_yield_cost_factor/O123</f>
        <v>0.148027856815035</v>
      </c>
      <c r="BH123" s="197" t="n">
        <f aca="false">Algae_yield_cost_factor/P123</f>
        <v>0.140113019004139</v>
      </c>
      <c r="BI123" s="197" t="n">
        <f aca="false">Algae_yield_cost_factor/Q123</f>
        <v>0.130560171728961</v>
      </c>
      <c r="BJ123" s="197" t="n">
        <f aca="false">Algae_yield_cost_factor/R123</f>
        <v>0.120267382038603</v>
      </c>
      <c r="BK123" s="197" t="n">
        <f aca="false">Algae_yield_cost_factor/S123</f>
        <v>0.110448806592039</v>
      </c>
      <c r="BL123" s="197" t="n">
        <f aca="false">Algae_yield_cost_factor/T123</f>
        <v>0.10211239610261</v>
      </c>
      <c r="BM123" s="197" t="n">
        <f aca="false">Algae_yield_cost_factor/U123</f>
        <v>0.0957062989856623</v>
      </c>
      <c r="BN123" s="197" t="n">
        <f aca="false">Algae_yield_cost_factor/V123</f>
        <v>0.0911507132489068</v>
      </c>
      <c r="BO123" s="197" t="n">
        <f aca="false">Algae_yield_cost_factor/W123</f>
        <v>0.0880867010204952</v>
      </c>
      <c r="BP123" s="197" t="n">
        <f aca="false">Algae_yield_cost_factor/X123</f>
        <v>0.0861023902541071</v>
      </c>
      <c r="BQ123" s="197" t="n">
        <f aca="false">Algae_yield_cost_factor/Y123</f>
        <v>0.0848486147656125</v>
      </c>
      <c r="BR123" s="197" t="n">
        <f aca="false">Algae_yield_cost_factor/Z123</f>
        <v>0.0840687258901619</v>
      </c>
      <c r="BS123" s="197" t="n">
        <f aca="false">Algae_yield_cost_factor/AA123</f>
        <v>0.0835883235125675</v>
      </c>
      <c r="BT123" s="197" t="n">
        <f aca="false">Algae_yield_cost_factor/AB123</f>
        <v>0.0832941791277991</v>
      </c>
      <c r="BU123" s="197" t="n">
        <f aca="false">Algae_yield_cost_factor/AC123</f>
        <v>0.0831147422337197</v>
      </c>
    </row>
    <row r="124" customFormat="false" ht="15" hidden="false" customHeight="false" outlineLevel="0" collapsed="false">
      <c r="A124" s="18" t="s">
        <v>710</v>
      </c>
      <c r="B124" s="18" t="s">
        <v>22</v>
      </c>
      <c r="C124" s="18" t="s">
        <v>687</v>
      </c>
      <c r="D124" s="18" t="s">
        <v>687</v>
      </c>
      <c r="E124" s="28" t="n">
        <v>4.283202</v>
      </c>
      <c r="F124" s="185" t="n">
        <f aca="false">E124/$B$2*$F$3/1000</f>
        <v>0.0104938449</v>
      </c>
      <c r="G124" s="18" t="n">
        <f aca="false">LOOKUP(RIGHT(D124,5),Ref!$C$4:$C$21,Ref!$E$4:$E$21)*$G$3</f>
        <v>4.5</v>
      </c>
      <c r="H124" s="218" t="n">
        <f aca="false">$E124</f>
        <v>4.283202</v>
      </c>
      <c r="I124" s="177" t="n">
        <f aca="false">$E124</f>
        <v>4.283202</v>
      </c>
      <c r="J124" s="177" t="n">
        <f aca="false">$E124</f>
        <v>4.283202</v>
      </c>
      <c r="K124" s="177" t="n">
        <f aca="false">$E124</f>
        <v>4.283202</v>
      </c>
      <c r="L124" s="177" t="n">
        <f aca="false">$E124</f>
        <v>4.283202</v>
      </c>
      <c r="M124" s="177" t="n">
        <f aca="false">M$3*$E124</f>
        <v>4.4863365948459</v>
      </c>
      <c r="N124" s="177" t="n">
        <f aca="false">N$3*$E124</f>
        <v>4.60811790838335</v>
      </c>
      <c r="O124" s="177" t="n">
        <f aca="false">O$3*$E124</f>
        <v>4.79377219401098</v>
      </c>
      <c r="P124" s="177" t="n">
        <f aca="false">P$3*$E124</f>
        <v>5.06456736841843</v>
      </c>
      <c r="Q124" s="177" t="n">
        <f aca="false">Q$3*$E124</f>
        <v>5.43513243389481</v>
      </c>
      <c r="R124" s="177" t="n">
        <f aca="false">R$3*$E124</f>
        <v>5.90028494767755</v>
      </c>
      <c r="S124" s="177" t="n">
        <f aca="false">S$3*$E124</f>
        <v>6.424803</v>
      </c>
      <c r="T124" s="177" t="n">
        <f aca="false">T$3*$E124</f>
        <v>6.94932105232245</v>
      </c>
      <c r="U124" s="177" t="n">
        <f aca="false">U$3*$E124</f>
        <v>7.41447356610519</v>
      </c>
      <c r="V124" s="177" t="n">
        <f aca="false">V$3*$E124</f>
        <v>7.78503863158157</v>
      </c>
      <c r="W124" s="177" t="n">
        <f aca="false">W$3*$E124</f>
        <v>8.05583380598902</v>
      </c>
      <c r="X124" s="177" t="n">
        <f aca="false">X$3*$E124</f>
        <v>8.24148809161665</v>
      </c>
      <c r="Y124" s="177" t="n">
        <f aca="false">Y$3*$E124</f>
        <v>8.3632694051541</v>
      </c>
      <c r="Z124" s="177" t="n">
        <f aca="false">Z$3*$E124</f>
        <v>8.44085379462133</v>
      </c>
      <c r="AA124" s="177" t="n">
        <f aca="false">AA$3*$E124</f>
        <v>8.48936542951795</v>
      </c>
      <c r="AB124" s="177" t="n">
        <f aca="false">AB$3*$E124</f>
        <v>8.51934470535076</v>
      </c>
      <c r="AC124" s="177" t="n">
        <f aca="false">AC$3*$E124</f>
        <v>8.5377371675354</v>
      </c>
      <c r="AD124" s="219" t="n">
        <f aca="false">Algae_electricity_factor/H124</f>
        <v>0.00320872027598261</v>
      </c>
      <c r="AE124" s="220" t="n">
        <f aca="false">Algae_electricity_factor/I124</f>
        <v>0.00320872027598261</v>
      </c>
      <c r="AF124" s="220" t="n">
        <f aca="false">Algae_electricity_factor/J124</f>
        <v>0.00320872027598261</v>
      </c>
      <c r="AG124" s="220" t="n">
        <f aca="false">Algae_electricity_factor/K124</f>
        <v>0.00320872027598261</v>
      </c>
      <c r="AH124" s="220" t="n">
        <f aca="false">Algae_electricity_factor/L124</f>
        <v>0.00320872027598261</v>
      </c>
      <c r="AI124" s="220" t="n">
        <f aca="false">Algae_electricity_factor/M124</f>
        <v>0.00306343423258043</v>
      </c>
      <c r="AJ124" s="220" t="n">
        <f aca="false">Algae_electricity_factor/N124</f>
        <v>0.0029824751399104</v>
      </c>
      <c r="AK124" s="220" t="n">
        <f aca="false">Algae_electricity_factor/O124</f>
        <v>0.00286696917319092</v>
      </c>
      <c r="AL124" s="220" t="n">
        <f aca="false">Algae_electricity_factor/P124</f>
        <v>0.00271367643152136</v>
      </c>
      <c r="AM124" s="220" t="n">
        <f aca="false">Algae_electricity_factor/Q124</f>
        <v>0.00252865910273333</v>
      </c>
      <c r="AN124" s="220" t="n">
        <f aca="false">Algae_electricity_factor/R124</f>
        <v>0.00232931074099039</v>
      </c>
      <c r="AO124" s="220" t="n">
        <f aca="false">Algae_electricity_factor/S124</f>
        <v>0.00213914685065507</v>
      </c>
      <c r="AP124" s="220" t="n">
        <f aca="false">Algae_electricity_factor/T124</f>
        <v>0.00197768918719566</v>
      </c>
      <c r="AQ124" s="220" t="n">
        <f aca="false">Algae_electricity_factor/U124</f>
        <v>0.00185361738510435</v>
      </c>
      <c r="AR124" s="220" t="n">
        <f aca="false">Algae_electricity_factor/V124</f>
        <v>0.0017653858579167</v>
      </c>
      <c r="AS124" s="220" t="n">
        <f aca="false">Algae_electricity_factor/W124</f>
        <v>0.00170604278024104</v>
      </c>
      <c r="AT124" s="220" t="n">
        <f aca="false">Algae_electricity_factor/X124</f>
        <v>0.00166761110988068</v>
      </c>
      <c r="AU124" s="220" t="n">
        <f aca="false">Algae_electricity_factor/Y124</f>
        <v>0.00164332827722366</v>
      </c>
      <c r="AV124" s="220" t="n">
        <f aca="false">Algae_electricity_factor/Z124</f>
        <v>0.00162822357049792</v>
      </c>
      <c r="AW124" s="220" t="n">
        <f aca="false">Algae_electricity_factor/AA124</f>
        <v>0.00161891924875116</v>
      </c>
      <c r="AX124" s="220" t="n">
        <f aca="false">Algae_electricity_factor/AB124</f>
        <v>0.00161322232857855</v>
      </c>
      <c r="AY124" s="220" t="n">
        <f aca="false">Algae_electricity_factor/AC124</f>
        <v>0.00160974703646173</v>
      </c>
      <c r="AZ124" s="221" t="n">
        <f aca="false">Algae_yield_cost_factor/H124</f>
        <v>0.177634073594058</v>
      </c>
      <c r="BA124" s="197" t="n">
        <f aca="false">Algae_yield_cost_factor/I124</f>
        <v>0.177634073594058</v>
      </c>
      <c r="BB124" s="197" t="n">
        <f aca="false">Algae_yield_cost_factor/J124</f>
        <v>0.177634073594058</v>
      </c>
      <c r="BC124" s="197" t="n">
        <f aca="false">Algae_yield_cost_factor/K124</f>
        <v>0.177634073594058</v>
      </c>
      <c r="BD124" s="197" t="n">
        <f aca="false">Algae_yield_cost_factor/L124</f>
        <v>0.177634073594058</v>
      </c>
      <c r="BE124" s="197" t="n">
        <f aca="false">Algae_yield_cost_factor/M124</f>
        <v>0.169591069060736</v>
      </c>
      <c r="BF124" s="197" t="n">
        <f aca="false">Algae_yield_cost_factor/N124</f>
        <v>0.165109190869888</v>
      </c>
      <c r="BG124" s="197" t="n">
        <f aca="false">Algae_yield_cost_factor/O124</f>
        <v>0.158714805062444</v>
      </c>
      <c r="BH124" s="197" t="n">
        <f aca="false">Algae_yield_cost_factor/P124</f>
        <v>0.150228551412046</v>
      </c>
      <c r="BI124" s="197" t="n">
        <f aca="false">Algae_yield_cost_factor/Q124</f>
        <v>0.139986031350666</v>
      </c>
      <c r="BJ124" s="197" t="n">
        <f aca="false">Algae_yield_cost_factor/R124</f>
        <v>0.12895014834592</v>
      </c>
      <c r="BK124" s="197" t="n">
        <f aca="false">Algae_yield_cost_factor/S124</f>
        <v>0.118422715729372</v>
      </c>
      <c r="BL124" s="197" t="n">
        <f aca="false">Algae_yield_cost_factor/T124</f>
        <v>0.109484453741268</v>
      </c>
      <c r="BM124" s="197" t="n">
        <f aca="false">Algae_yield_cost_factor/U124</f>
        <v>0.102615865105294</v>
      </c>
      <c r="BN124" s="197" t="n">
        <f aca="false">Algae_yield_cost_factor/V124</f>
        <v>0.0977313864827475</v>
      </c>
      <c r="BO124" s="197" t="n">
        <f aca="false">Algae_yield_cost_factor/W124</f>
        <v>0.0944461662951112</v>
      </c>
      <c r="BP124" s="197" t="n">
        <f aca="false">Algae_yield_cost_factor/X124</f>
        <v>0.0923185971790891</v>
      </c>
      <c r="BQ124" s="197" t="n">
        <f aca="false">Algae_yield_cost_factor/Y124</f>
        <v>0.0909743047159676</v>
      </c>
      <c r="BR124" s="197" t="n">
        <f aca="false">Algae_yield_cost_factor/Z124</f>
        <v>0.0901381113568204</v>
      </c>
      <c r="BS124" s="197" t="n">
        <f aca="false">Algae_yield_cost_factor/AA124</f>
        <v>0.0896230260792791</v>
      </c>
      <c r="BT124" s="197" t="n">
        <f aca="false">Algae_yield_cost_factor/AB124</f>
        <v>0.0893076457873989</v>
      </c>
      <c r="BU124" s="197" t="n">
        <f aca="false">Algae_yield_cost_factor/AC124</f>
        <v>0.0891152543532622</v>
      </c>
    </row>
    <row r="125" customFormat="false" ht="15" hidden="false" customHeight="false" outlineLevel="0" collapsed="false">
      <c r="A125" s="18" t="s">
        <v>710</v>
      </c>
      <c r="B125" s="18" t="s">
        <v>22</v>
      </c>
      <c r="C125" s="18" t="s">
        <v>688</v>
      </c>
      <c r="D125" s="18" t="s">
        <v>688</v>
      </c>
      <c r="E125" s="28" t="n">
        <v>5.23981225</v>
      </c>
      <c r="F125" s="185" t="n">
        <f aca="false">E125/$B$2*$F$3/1000</f>
        <v>0.0128375400125</v>
      </c>
      <c r="G125" s="18" t="n">
        <f aca="false">LOOKUP(RIGHT(D125,5),Ref!$C$4:$C$21,Ref!$E$4:$E$21)*$G$3</f>
        <v>4.5</v>
      </c>
      <c r="H125" s="218" t="n">
        <f aca="false">$E125</f>
        <v>5.23981225</v>
      </c>
      <c r="I125" s="177" t="n">
        <f aca="false">$E125</f>
        <v>5.23981225</v>
      </c>
      <c r="J125" s="177" t="n">
        <f aca="false">$E125</f>
        <v>5.23981225</v>
      </c>
      <c r="K125" s="177" t="n">
        <f aca="false">$E125</f>
        <v>5.23981225</v>
      </c>
      <c r="L125" s="177" t="n">
        <f aca="false">$E125</f>
        <v>5.23981225</v>
      </c>
      <c r="M125" s="177" t="n">
        <f aca="false">M$3*$E125</f>
        <v>5.48831492124276</v>
      </c>
      <c r="N125" s="177" t="n">
        <f aca="false">N$3*$E125</f>
        <v>5.63729487093802</v>
      </c>
      <c r="O125" s="177" t="n">
        <f aca="false">O$3*$E125</f>
        <v>5.86441318104729</v>
      </c>
      <c r="P125" s="177" t="n">
        <f aca="false">P$3*$E125</f>
        <v>6.19568774435321</v>
      </c>
      <c r="Q125" s="177" t="n">
        <f aca="false">Q$3*$E125</f>
        <v>6.64901480422691</v>
      </c>
      <c r="R125" s="177" t="n">
        <f aca="false">R$3*$E125</f>
        <v>7.21805447124172</v>
      </c>
      <c r="S125" s="177" t="n">
        <f aca="false">S$3*$E125</f>
        <v>7.859718375</v>
      </c>
      <c r="T125" s="177" t="n">
        <f aca="false">T$3*$E125</f>
        <v>8.50138227875828</v>
      </c>
      <c r="U125" s="177" t="n">
        <f aca="false">U$3*$E125</f>
        <v>9.07042194577309</v>
      </c>
      <c r="V125" s="177" t="n">
        <f aca="false">V$3*$E125</f>
        <v>9.52374900564679</v>
      </c>
      <c r="W125" s="177" t="n">
        <f aca="false">W$3*$E125</f>
        <v>9.85502356895271</v>
      </c>
      <c r="X125" s="177" t="n">
        <f aca="false">X$3*$E125</f>
        <v>10.082141879062</v>
      </c>
      <c r="Y125" s="177" t="n">
        <f aca="false">Y$3*$E125</f>
        <v>10.2311218287572</v>
      </c>
      <c r="Z125" s="177" t="n">
        <f aca="false">Z$3*$E125</f>
        <v>10.3260339142342</v>
      </c>
      <c r="AA125" s="177" t="n">
        <f aca="false">AA$3*$E125</f>
        <v>10.3853801367096</v>
      </c>
      <c r="AB125" s="177" t="n">
        <f aca="false">AB$3*$E125</f>
        <v>10.4220549834142</v>
      </c>
      <c r="AC125" s="177" t="n">
        <f aca="false">AC$3*$E125</f>
        <v>10.4445552177395</v>
      </c>
      <c r="AD125" s="219" t="n">
        <f aca="false">Algae_electricity_factor/H125</f>
        <v>0.00262291785426649</v>
      </c>
      <c r="AE125" s="220" t="n">
        <f aca="false">Algae_electricity_factor/I125</f>
        <v>0.00262291785426649</v>
      </c>
      <c r="AF125" s="220" t="n">
        <f aca="false">Algae_electricity_factor/J125</f>
        <v>0.00262291785426649</v>
      </c>
      <c r="AG125" s="220" t="n">
        <f aca="false">Algae_electricity_factor/K125</f>
        <v>0.00262291785426649</v>
      </c>
      <c r="AH125" s="220" t="n">
        <f aca="false">Algae_electricity_factor/L125</f>
        <v>0.00262291785426649</v>
      </c>
      <c r="AI125" s="220" t="n">
        <f aca="false">Algae_electricity_factor/M125</f>
        <v>0.00250415606625161</v>
      </c>
      <c r="AJ125" s="220" t="n">
        <f aca="false">Algae_electricity_factor/N125</f>
        <v>0.00243797733100351</v>
      </c>
      <c r="AK125" s="220" t="n">
        <f aca="false">Algae_electricity_factor/O125</f>
        <v>0.00234355879765533</v>
      </c>
      <c r="AL125" s="220" t="n">
        <f aca="false">Algae_electricity_factor/P125</f>
        <v>0.00221825206024226</v>
      </c>
      <c r="AM125" s="220" t="n">
        <f aca="false">Algae_electricity_factor/Q125</f>
        <v>0.00206701255873158</v>
      </c>
      <c r="AN125" s="220" t="n">
        <f aca="false">Algae_electricity_factor/R125</f>
        <v>0.00190405838003671</v>
      </c>
      <c r="AO125" s="220" t="n">
        <f aca="false">Algae_electricity_factor/S125</f>
        <v>0.00174861190284433</v>
      </c>
      <c r="AP125" s="220" t="n">
        <f aca="false">Algae_electricity_factor/T125</f>
        <v>0.00161663087870655</v>
      </c>
      <c r="AQ125" s="220" t="n">
        <f aca="false">Algae_electricity_factor/U125</f>
        <v>0.00151521033814021</v>
      </c>
      <c r="AR125" s="220" t="n">
        <f aca="false">Algae_electricity_factor/V125</f>
        <v>0.00144308686583198</v>
      </c>
      <c r="AS125" s="220" t="n">
        <f aca="false">Algae_electricity_factor/W125</f>
        <v>0.00139457780160233</v>
      </c>
      <c r="AT125" s="220" t="n">
        <f aca="false">Algae_electricity_factor/X125</f>
        <v>0.00136316243794101</v>
      </c>
      <c r="AU125" s="220" t="n">
        <f aca="false">Algae_electricity_factor/Y125</f>
        <v>0.00134331281882494</v>
      </c>
      <c r="AV125" s="220" t="n">
        <f aca="false">Algae_electricity_factor/Z125</f>
        <v>0.00133096571420166</v>
      </c>
      <c r="AW125" s="220" t="n">
        <f aca="false">Algae_electricity_factor/AA125</f>
        <v>0.00132336004292701</v>
      </c>
      <c r="AX125" s="220" t="n">
        <f aca="false">Algae_electricity_factor/AB125</f>
        <v>0.00131870318525483</v>
      </c>
      <c r="AY125" s="220" t="n">
        <f aca="false">Algae_electricity_factor/AC125</f>
        <v>0.00131586236244761</v>
      </c>
      <c r="AZ125" s="221" t="n">
        <f aca="false">Algae_yield_cost_factor/H125</f>
        <v>0.145204175834013</v>
      </c>
      <c r="BA125" s="197" t="n">
        <f aca="false">Algae_yield_cost_factor/I125</f>
        <v>0.145204175834013</v>
      </c>
      <c r="BB125" s="197" t="n">
        <f aca="false">Algae_yield_cost_factor/J125</f>
        <v>0.145204175834013</v>
      </c>
      <c r="BC125" s="197" t="n">
        <f aca="false">Algae_yield_cost_factor/K125</f>
        <v>0.145204175834013</v>
      </c>
      <c r="BD125" s="197" t="n">
        <f aca="false">Algae_yield_cost_factor/L125</f>
        <v>0.145204175834013</v>
      </c>
      <c r="BE125" s="197" t="n">
        <f aca="false">Algae_yield_cost_factor/M125</f>
        <v>0.138629548450535</v>
      </c>
      <c r="BF125" s="197" t="n">
        <f aca="false">Algae_yield_cost_factor/N125</f>
        <v>0.134965907710202</v>
      </c>
      <c r="BG125" s="197" t="n">
        <f aca="false">Algae_yield_cost_factor/O125</f>
        <v>0.12973891773948</v>
      </c>
      <c r="BH125" s="197" t="n">
        <f aca="false">Algae_yield_cost_factor/P125</f>
        <v>0.122801963346144</v>
      </c>
      <c r="BI125" s="197" t="n">
        <f aca="false">Algae_yield_cost_factor/Q125</f>
        <v>0.114429376635247</v>
      </c>
      <c r="BJ125" s="197" t="n">
        <f aca="false">Algae_yield_cost_factor/R125</f>
        <v>0.105408267881266</v>
      </c>
      <c r="BK125" s="197" t="n">
        <f aca="false">Algae_yield_cost_factor/S125</f>
        <v>0.0968027838893423</v>
      </c>
      <c r="BL125" s="197" t="n">
        <f aca="false">Algae_yield_cost_factor/T125</f>
        <v>0.0894963423991971</v>
      </c>
      <c r="BM125" s="197" t="n">
        <f aca="false">Algae_yield_cost_factor/U125</f>
        <v>0.0838817227946908</v>
      </c>
      <c r="BN125" s="197" t="n">
        <f aca="false">Algae_yield_cost_factor/V125</f>
        <v>0.0798889826721706</v>
      </c>
      <c r="BO125" s="197" t="n">
        <f aca="false">Algae_yield_cost_factor/W125</f>
        <v>0.0772035311699485</v>
      </c>
      <c r="BP125" s="197" t="n">
        <f aca="false">Algae_yield_cost_factor/X125</f>
        <v>0.0754643833039379</v>
      </c>
      <c r="BQ125" s="197" t="n">
        <f aca="false">Algae_yield_cost_factor/Y125</f>
        <v>0.0743655126017238</v>
      </c>
      <c r="BR125" s="197" t="n">
        <f aca="false">Algae_yield_cost_factor/Z125</f>
        <v>0.0736819795098109</v>
      </c>
      <c r="BS125" s="197" t="n">
        <f aca="false">Algae_yield_cost_factor/AA125</f>
        <v>0.0732609311619554</v>
      </c>
      <c r="BT125" s="197" t="n">
        <f aca="false">Algae_yield_cost_factor/AB125</f>
        <v>0.0730031285094</v>
      </c>
      <c r="BU125" s="197" t="n">
        <f aca="false">Algae_yield_cost_factor/AC125</f>
        <v>0.0728458611616096</v>
      </c>
    </row>
    <row r="126" customFormat="false" ht="15" hidden="false" customHeight="false" outlineLevel="0" collapsed="false">
      <c r="A126" s="18" t="s">
        <v>711</v>
      </c>
      <c r="B126" s="18" t="s">
        <v>22</v>
      </c>
      <c r="C126" s="18" t="s">
        <v>690</v>
      </c>
      <c r="D126" s="18" t="s">
        <v>690</v>
      </c>
      <c r="E126" s="28" t="n">
        <v>7.79608975</v>
      </c>
      <c r="F126" s="185" t="n">
        <f aca="false">E126/$B$2*$F$3/1000</f>
        <v>0.0191004198875</v>
      </c>
      <c r="G126" s="18" t="n">
        <f aca="false">LOOKUP(RIGHT(D126,5),Ref!$C$4:$C$21,Ref!$E$4:$E$21)*$G$3</f>
        <v>1.5</v>
      </c>
      <c r="H126" s="218" t="n">
        <f aca="false">$E126</f>
        <v>7.79608975</v>
      </c>
      <c r="I126" s="177" t="n">
        <f aca="false">$E126</f>
        <v>7.79608975</v>
      </c>
      <c r="J126" s="177" t="n">
        <f aca="false">$E126</f>
        <v>7.79608975</v>
      </c>
      <c r="K126" s="177" t="n">
        <f aca="false">$E126</f>
        <v>7.79608975</v>
      </c>
      <c r="L126" s="177" t="n">
        <f aca="false">$E126</f>
        <v>7.79608975</v>
      </c>
      <c r="M126" s="177" t="n">
        <f aca="false">M$3*$E126</f>
        <v>8.16582611376443</v>
      </c>
      <c r="N126" s="177" t="n">
        <f aca="false">N$3*$E126</f>
        <v>8.38748692971727</v>
      </c>
      <c r="O126" s="177" t="n">
        <f aca="false">O$3*$E126</f>
        <v>8.72540642854668</v>
      </c>
      <c r="P126" s="177" t="n">
        <f aca="false">P$3*$E126</f>
        <v>9.21829550628512</v>
      </c>
      <c r="Q126" s="177" t="n">
        <f aca="false">Q$3*$E126</f>
        <v>9.89278120849305</v>
      </c>
      <c r="R126" s="177" t="n">
        <f aca="false">R$3*$E126</f>
        <v>10.7394306882254</v>
      </c>
      <c r="S126" s="177" t="n">
        <f aca="false">S$3*$E126</f>
        <v>11.694134625</v>
      </c>
      <c r="T126" s="177" t="n">
        <f aca="false">T$3*$E126</f>
        <v>12.6488385617746</v>
      </c>
      <c r="U126" s="177" t="n">
        <f aca="false">U$3*$E126</f>
        <v>13.4954880415069</v>
      </c>
      <c r="V126" s="177" t="n">
        <f aca="false">V$3*$E126</f>
        <v>14.1699737437149</v>
      </c>
      <c r="W126" s="177" t="n">
        <f aca="false">W$3*$E126</f>
        <v>14.6628628214533</v>
      </c>
      <c r="X126" s="177" t="n">
        <f aca="false">X$3*$E126</f>
        <v>15.0007823202827</v>
      </c>
      <c r="Y126" s="177" t="n">
        <f aca="false">Y$3*$E126</f>
        <v>15.2224431362356</v>
      </c>
      <c r="Z126" s="177" t="n">
        <f aca="false">Z$3*$E126</f>
        <v>15.3636587182897</v>
      </c>
      <c r="AA126" s="177" t="n">
        <f aca="false">AA$3*$E126</f>
        <v>15.4519573928732</v>
      </c>
      <c r="AB126" s="177" t="n">
        <f aca="false">AB$3*$E126</f>
        <v>15.5065243091738</v>
      </c>
      <c r="AC126" s="177" t="n">
        <f aca="false">AC$3*$E126</f>
        <v>15.5400014335109</v>
      </c>
      <c r="AD126" s="219" t="n">
        <f aca="false">Algae_electricity_factor/H126</f>
        <v>0.00176288338696066</v>
      </c>
      <c r="AE126" s="220" t="n">
        <f aca="false">Algae_electricity_factor/I126</f>
        <v>0.00176288338696066</v>
      </c>
      <c r="AF126" s="220" t="n">
        <f aca="false">Algae_electricity_factor/J126</f>
        <v>0.00176288338696066</v>
      </c>
      <c r="AG126" s="220" t="n">
        <f aca="false">Algae_electricity_factor/K126</f>
        <v>0.00176288338696066</v>
      </c>
      <c r="AH126" s="220" t="n">
        <f aca="false">Algae_electricity_factor/L126</f>
        <v>0.00176288338696066</v>
      </c>
      <c r="AI126" s="220" t="n">
        <f aca="false">Algae_electricity_factor/M126</f>
        <v>0.00168306267021323</v>
      </c>
      <c r="AJ126" s="220" t="n">
        <f aca="false">Algae_electricity_factor/N126</f>
        <v>0.00163858343013746</v>
      </c>
      <c r="AK126" s="220" t="n">
        <f aca="false">Algae_electricity_factor/O126</f>
        <v>0.00157512400322863</v>
      </c>
      <c r="AL126" s="220" t="n">
        <f aca="false">Algae_electricity_factor/P126</f>
        <v>0.00149090437534344</v>
      </c>
      <c r="AM126" s="220" t="n">
        <f aca="false">Algae_electricity_factor/Q126</f>
        <v>0.00138925513603093</v>
      </c>
      <c r="AN126" s="220" t="n">
        <f aca="false">Algae_electricity_factor/R126</f>
        <v>0.00127973237153042</v>
      </c>
      <c r="AO126" s="220" t="n">
        <f aca="false">Algae_electricity_factor/S126</f>
        <v>0.0011752555913071</v>
      </c>
      <c r="AP126" s="220" t="n">
        <f aca="false">Algae_electricity_factor/T126</f>
        <v>0.00108655012366614</v>
      </c>
      <c r="AQ126" s="220" t="n">
        <f aca="false">Algae_electricity_factor/U126</f>
        <v>0.00101838459352187</v>
      </c>
      <c r="AR126" s="220" t="n">
        <f aca="false">Algae_electricity_factor/V126</f>
        <v>0.000969909849665406</v>
      </c>
      <c r="AS126" s="220" t="n">
        <f aca="false">Algae_electricity_factor/W126</f>
        <v>0.000937306532215586</v>
      </c>
      <c r="AT126" s="220" t="n">
        <f aca="false">Algae_electricity_factor/X126</f>
        <v>0.000916192023195109</v>
      </c>
      <c r="AU126" s="220" t="n">
        <f aca="false">Algae_electricity_factor/Y126</f>
        <v>0.000902850940583508</v>
      </c>
      <c r="AV126" s="220" t="n">
        <f aca="false">Algae_electricity_factor/Z126</f>
        <v>0.000894552356019738</v>
      </c>
      <c r="AW126" s="220" t="n">
        <f aca="false">Algae_electricity_factor/AA126</f>
        <v>0.000889440525500551</v>
      </c>
      <c r="AX126" s="220" t="n">
        <f aca="false">Algae_electricity_factor/AB126</f>
        <v>0.000886310615422595</v>
      </c>
      <c r="AY126" s="220" t="n">
        <f aca="false">Algae_electricity_factor/AC126</f>
        <v>0.000884401276430527</v>
      </c>
      <c r="AZ126" s="221" t="n">
        <f aca="false">Algae_yield_cost_factor/H126</f>
        <v>0.0975928502216406</v>
      </c>
      <c r="BA126" s="197" t="n">
        <f aca="false">Algae_yield_cost_factor/I126</f>
        <v>0.0975928502216406</v>
      </c>
      <c r="BB126" s="197" t="n">
        <f aca="false">Algae_yield_cost_factor/J126</f>
        <v>0.0975928502216406</v>
      </c>
      <c r="BC126" s="197" t="n">
        <f aca="false">Algae_yield_cost_factor/K126</f>
        <v>0.0975928502216406</v>
      </c>
      <c r="BD126" s="197" t="n">
        <f aca="false">Algae_yield_cost_factor/L126</f>
        <v>0.0975928502216406</v>
      </c>
      <c r="BE126" s="197" t="n">
        <f aca="false">Algae_yield_cost_factor/M126</f>
        <v>0.0931739922803072</v>
      </c>
      <c r="BF126" s="197" t="n">
        <f aca="false">Algae_yield_cost_factor/N126</f>
        <v>0.090711630988123</v>
      </c>
      <c r="BG126" s="197" t="n">
        <f aca="false">Algae_yield_cost_factor/O126</f>
        <v>0.0871985305804196</v>
      </c>
      <c r="BH126" s="197" t="n">
        <f aca="false">Algae_yield_cost_factor/P126</f>
        <v>0.0825361498519405</v>
      </c>
      <c r="BI126" s="197" t="n">
        <f aca="false">Algae_yield_cost_factor/Q126</f>
        <v>0.0769088695333752</v>
      </c>
      <c r="BJ126" s="197" t="n">
        <f aca="false">Algae_yield_cost_factor/R126</f>
        <v>0.0708457125311494</v>
      </c>
      <c r="BK126" s="197" t="n">
        <f aca="false">Algae_yield_cost_factor/S126</f>
        <v>0.0650619001477604</v>
      </c>
      <c r="BL126" s="197" t="n">
        <f aca="false">Algae_yield_cost_factor/T126</f>
        <v>0.0601511842822881</v>
      </c>
      <c r="BM126" s="197" t="n">
        <f aca="false">Algae_yield_cost_factor/U126</f>
        <v>0.056377554998097</v>
      </c>
      <c r="BN126" s="197" t="n">
        <f aca="false">Algae_yield_cost_factor/V126</f>
        <v>0.0536940034644518</v>
      </c>
      <c r="BO126" s="197" t="n">
        <f aca="false">Algae_yield_cost_factor/W126</f>
        <v>0.0518890907287917</v>
      </c>
      <c r="BP126" s="197" t="n">
        <f aca="false">Algae_yield_cost_factor/X126</f>
        <v>0.0507201959898767</v>
      </c>
      <c r="BQ126" s="197" t="n">
        <f aca="false">Algae_yield_cost_factor/Y126</f>
        <v>0.0499816364874509</v>
      </c>
      <c r="BR126" s="197" t="n">
        <f aca="false">Algae_yield_cost_factor/Z126</f>
        <v>0.0495222286069444</v>
      </c>
      <c r="BS126" s="197" t="n">
        <f aca="false">Algae_yield_cost_factor/AA126</f>
        <v>0.0492392387541229</v>
      </c>
      <c r="BT126" s="197" t="n">
        <f aca="false">Algae_yield_cost_factor/AB126</f>
        <v>0.0490659675963682</v>
      </c>
      <c r="BU126" s="197" t="n">
        <f aca="false">Algae_yield_cost_factor/AC126</f>
        <v>0.0489602669949254</v>
      </c>
    </row>
    <row r="127" customFormat="false" ht="15" hidden="false" customHeight="false" outlineLevel="0" collapsed="false">
      <c r="A127" s="18" t="s">
        <v>711</v>
      </c>
      <c r="B127" s="18" t="s">
        <v>22</v>
      </c>
      <c r="C127" s="18" t="s">
        <v>691</v>
      </c>
      <c r="D127" s="18" t="s">
        <v>691</v>
      </c>
      <c r="E127" s="28" t="n">
        <v>7.10390375</v>
      </c>
      <c r="F127" s="185" t="n">
        <f aca="false">E127/$B$2*$F$3/1000</f>
        <v>0.0174045641875</v>
      </c>
      <c r="G127" s="18" t="n">
        <f aca="false">LOOKUP(RIGHT(D127,5),Ref!$C$4:$C$21,Ref!$E$4:$E$21)*$G$3</f>
        <v>2</v>
      </c>
      <c r="H127" s="218" t="n">
        <f aca="false">$E127</f>
        <v>7.10390375</v>
      </c>
      <c r="I127" s="177" t="n">
        <f aca="false">$E127</f>
        <v>7.10390375</v>
      </c>
      <c r="J127" s="177" t="n">
        <f aca="false">$E127</f>
        <v>7.10390375</v>
      </c>
      <c r="K127" s="177" t="n">
        <f aca="false">$E127</f>
        <v>7.10390375</v>
      </c>
      <c r="L127" s="177" t="n">
        <f aca="false">$E127</f>
        <v>7.10390375</v>
      </c>
      <c r="M127" s="177" t="n">
        <f aca="false">M$3*$E127</f>
        <v>7.44081258831314</v>
      </c>
      <c r="N127" s="177" t="n">
        <f aca="false">N$3*$E127</f>
        <v>7.64279295952109</v>
      </c>
      <c r="O127" s="177" t="n">
        <f aca="false">O$3*$E127</f>
        <v>7.95070983476388</v>
      </c>
      <c r="P127" s="177" t="n">
        <f aca="false">P$3*$E127</f>
        <v>8.39983711266369</v>
      </c>
      <c r="Q127" s="177" t="n">
        <f aca="false">Q$3*$E127</f>
        <v>9.01443772180064</v>
      </c>
      <c r="R127" s="177" t="n">
        <f aca="false">R$3*$E127</f>
        <v>9.78591632285265</v>
      </c>
      <c r="S127" s="177" t="n">
        <f aca="false">S$3*$E127</f>
        <v>10.655855625</v>
      </c>
      <c r="T127" s="177" t="n">
        <f aca="false">T$3*$E127</f>
        <v>11.5257949271473</v>
      </c>
      <c r="U127" s="177" t="n">
        <f aca="false">U$3*$E127</f>
        <v>12.2972735281994</v>
      </c>
      <c r="V127" s="177" t="n">
        <f aca="false">V$3*$E127</f>
        <v>12.9118741373363</v>
      </c>
      <c r="W127" s="177" t="n">
        <f aca="false">W$3*$E127</f>
        <v>13.3610014152361</v>
      </c>
      <c r="X127" s="177" t="n">
        <f aca="false">X$3*$E127</f>
        <v>13.6689182904789</v>
      </c>
      <c r="Y127" s="177" t="n">
        <f aca="false">Y$3*$E127</f>
        <v>13.8708986616869</v>
      </c>
      <c r="Z127" s="177" t="n">
        <f aca="false">Z$3*$E127</f>
        <v>13.9995762340446</v>
      </c>
      <c r="AA127" s="177" t="n">
        <f aca="false">AA$3*$E127</f>
        <v>14.080035195602</v>
      </c>
      <c r="AB127" s="177" t="n">
        <f aca="false">AB$3*$E127</f>
        <v>14.1297573170455</v>
      </c>
      <c r="AC127" s="177" t="n">
        <f aca="false">AC$3*$E127</f>
        <v>14.1602621312208</v>
      </c>
      <c r="AD127" s="219" t="n">
        <f aca="false">Algae_electricity_factor/H127</f>
        <v>0.00193465418271317</v>
      </c>
      <c r="AE127" s="220" t="n">
        <f aca="false">Algae_electricity_factor/I127</f>
        <v>0.00193465418271317</v>
      </c>
      <c r="AF127" s="220" t="n">
        <f aca="false">Algae_electricity_factor/J127</f>
        <v>0.00193465418271317</v>
      </c>
      <c r="AG127" s="220" t="n">
        <f aca="false">Algae_electricity_factor/K127</f>
        <v>0.00193465418271317</v>
      </c>
      <c r="AH127" s="220" t="n">
        <f aca="false">Algae_electricity_factor/L127</f>
        <v>0.00193465418271317</v>
      </c>
      <c r="AI127" s="220" t="n">
        <f aca="false">Algae_electricity_factor/M127</f>
        <v>0.00184705594186252</v>
      </c>
      <c r="AJ127" s="220" t="n">
        <f aca="false">Algae_electricity_factor/N127</f>
        <v>0.00179824275972412</v>
      </c>
      <c r="AK127" s="220" t="n">
        <f aca="false">Algae_electricity_factor/O127</f>
        <v>0.00172860001045899</v>
      </c>
      <c r="AL127" s="220" t="n">
        <f aca="false">Algae_electricity_factor/P127</f>
        <v>0.00163617423995154</v>
      </c>
      <c r="AM127" s="220" t="n">
        <f aca="false">Algae_electricity_factor/Q127</f>
        <v>0.00152462056177853</v>
      </c>
      <c r="AN127" s="220" t="n">
        <f aca="false">Algae_electricity_factor/R127</f>
        <v>0.001404426182496</v>
      </c>
      <c r="AO127" s="220" t="n">
        <f aca="false">Algae_electricity_factor/S127</f>
        <v>0.00128976945514211</v>
      </c>
      <c r="AP127" s="220" t="n">
        <f aca="false">Algae_electricity_factor/T127</f>
        <v>0.00119242075626022</v>
      </c>
      <c r="AQ127" s="220" t="n">
        <f aca="false">Algae_electricity_factor/U127</f>
        <v>0.00111761335323747</v>
      </c>
      <c r="AR127" s="220" t="n">
        <f aca="false">Algae_electricity_factor/V127</f>
        <v>0.00106441535576837</v>
      </c>
      <c r="AS127" s="220" t="n">
        <f aca="false">Algae_electricity_factor/W127</f>
        <v>0.00102863525542755</v>
      </c>
      <c r="AT127" s="220" t="n">
        <f aca="false">Algae_electricity_factor/X127</f>
        <v>0.00100546340328206</v>
      </c>
      <c r="AU127" s="220" t="n">
        <f aca="false">Algae_electricity_factor/Y127</f>
        <v>0.000990822400100923</v>
      </c>
      <c r="AV127" s="220" t="n">
        <f aca="false">Algae_electricity_factor/Z127</f>
        <v>0.000981715222929904</v>
      </c>
      <c r="AW127" s="220" t="n">
        <f aca="false">Algae_electricity_factor/AA127</f>
        <v>0.000976105308871824</v>
      </c>
      <c r="AX127" s="220" t="n">
        <f aca="false">Algae_electricity_factor/AB127</f>
        <v>0.000972670428454536</v>
      </c>
      <c r="AY127" s="220" t="n">
        <f aca="false">Algae_electricity_factor/AC127</f>
        <v>0.000970575048411508</v>
      </c>
      <c r="AZ127" s="221" t="n">
        <f aca="false">Algae_yield_cost_factor/H127</f>
        <v>0.107102045025064</v>
      </c>
      <c r="BA127" s="197" t="n">
        <f aca="false">Algae_yield_cost_factor/I127</f>
        <v>0.107102045025064</v>
      </c>
      <c r="BB127" s="197" t="n">
        <f aca="false">Algae_yield_cost_factor/J127</f>
        <v>0.107102045025064</v>
      </c>
      <c r="BC127" s="197" t="n">
        <f aca="false">Algae_yield_cost_factor/K127</f>
        <v>0.107102045025064</v>
      </c>
      <c r="BD127" s="197" t="n">
        <f aca="false">Algae_yield_cost_factor/L127</f>
        <v>0.107102045025064</v>
      </c>
      <c r="BE127" s="197" t="n">
        <f aca="false">Algae_yield_cost_factor/M127</f>
        <v>0.102252624999752</v>
      </c>
      <c r="BF127" s="197" t="n">
        <f aca="false">Algae_yield_cost_factor/N127</f>
        <v>0.0995503375946342</v>
      </c>
      <c r="BG127" s="197" t="n">
        <f aca="false">Algae_yield_cost_factor/O127</f>
        <v>0.0956949297733758</v>
      </c>
      <c r="BH127" s="197" t="n">
        <f aca="false">Algae_yield_cost_factor/P127</f>
        <v>0.090578258730656</v>
      </c>
      <c r="BI127" s="197" t="n">
        <f aca="false">Algae_yield_cost_factor/Q127</f>
        <v>0.0844026707784764</v>
      </c>
      <c r="BJ127" s="197" t="n">
        <f aca="false">Algae_yield_cost_factor/R127</f>
        <v>0.0777487354464142</v>
      </c>
      <c r="BK127" s="197" t="n">
        <f aca="false">Algae_yield_cost_factor/S127</f>
        <v>0.0714013633500424</v>
      </c>
      <c r="BL127" s="197" t="n">
        <f aca="false">Algae_yield_cost_factor/T127</f>
        <v>0.0660121600371496</v>
      </c>
      <c r="BM127" s="197" t="n">
        <f aca="false">Algae_yield_cost_factor/U127</f>
        <v>0.0618708380797987</v>
      </c>
      <c r="BN127" s="197" t="n">
        <f aca="false">Algae_yield_cost_factor/V127</f>
        <v>0.0589258082284233</v>
      </c>
      <c r="BO127" s="197" t="n">
        <f aca="false">Algae_yield_cost_factor/W127</f>
        <v>0.0569450294660246</v>
      </c>
      <c r="BP127" s="197" t="n">
        <f aca="false">Algae_yield_cost_factor/X127</f>
        <v>0.055662240648273</v>
      </c>
      <c r="BQ127" s="197" t="n">
        <f aca="false">Algae_yield_cost_factor/Y127</f>
        <v>0.0548517178189586</v>
      </c>
      <c r="BR127" s="197" t="n">
        <f aca="false">Algae_yield_cost_factor/Z127</f>
        <v>0.0543475464232966</v>
      </c>
      <c r="BS127" s="197" t="n">
        <f aca="false">Algae_yield_cost_factor/AA127</f>
        <v>0.0540369827714544</v>
      </c>
      <c r="BT127" s="197" t="n">
        <f aca="false">Algae_yield_cost_factor/AB127</f>
        <v>0.0538468285204284</v>
      </c>
      <c r="BU127" s="197" t="n">
        <f aca="false">Algae_yield_cost_factor/AC127</f>
        <v>0.0537308287258821</v>
      </c>
    </row>
    <row r="128" customFormat="false" ht="15" hidden="false" customHeight="false" outlineLevel="0" collapsed="false">
      <c r="A128" s="18" t="s">
        <v>711</v>
      </c>
      <c r="B128" s="18" t="s">
        <v>22</v>
      </c>
      <c r="C128" s="18" t="s">
        <v>692</v>
      </c>
      <c r="D128" s="18" t="s">
        <v>692</v>
      </c>
      <c r="E128" s="28" t="n">
        <v>7.461695</v>
      </c>
      <c r="F128" s="185" t="n">
        <f aca="false">E128/$B$2*$F$3/1000</f>
        <v>0.01828115275</v>
      </c>
      <c r="G128" s="18" t="n">
        <f aca="false">LOOKUP(RIGHT(D128,5),Ref!$C$4:$C$21,Ref!$E$4:$E$21)*$G$3</f>
        <v>2.5</v>
      </c>
      <c r="H128" s="218" t="n">
        <f aca="false">$E128</f>
        <v>7.461695</v>
      </c>
      <c r="I128" s="177" t="n">
        <f aca="false">$E128</f>
        <v>7.461695</v>
      </c>
      <c r="J128" s="177" t="n">
        <f aca="false">$E128</f>
        <v>7.461695</v>
      </c>
      <c r="K128" s="177" t="n">
        <f aca="false">$E128</f>
        <v>7.461695</v>
      </c>
      <c r="L128" s="177" t="n">
        <f aca="false">$E128</f>
        <v>7.461695</v>
      </c>
      <c r="M128" s="177" t="n">
        <f aca="false">M$3*$E128</f>
        <v>7.81557240075968</v>
      </c>
      <c r="N128" s="177" t="n">
        <f aca="false">N$3*$E128</f>
        <v>8.02772560257361</v>
      </c>
      <c r="O128" s="177" t="n">
        <f aca="false">O$3*$E128</f>
        <v>8.35115084723782</v>
      </c>
      <c r="P128" s="177" t="n">
        <f aca="false">P$3*$E128</f>
        <v>8.82289861885827</v>
      </c>
      <c r="Q128" s="177" t="n">
        <f aca="false">Q$3*$E128</f>
        <v>9.46845385912939</v>
      </c>
      <c r="R128" s="177" t="n">
        <f aca="false">R$3*$E128</f>
        <v>10.2787883206678</v>
      </c>
      <c r="S128" s="177" t="n">
        <f aca="false">S$3*$E128</f>
        <v>11.1925425</v>
      </c>
      <c r="T128" s="177" t="n">
        <f aca="false">T$3*$E128</f>
        <v>12.1062966793322</v>
      </c>
      <c r="U128" s="177" t="n">
        <f aca="false">U$3*$E128</f>
        <v>12.9166311408706</v>
      </c>
      <c r="V128" s="177" t="n">
        <f aca="false">V$3*$E128</f>
        <v>13.5621863811417</v>
      </c>
      <c r="W128" s="177" t="n">
        <f aca="false">W$3*$E128</f>
        <v>14.0339341527622</v>
      </c>
      <c r="X128" s="177" t="n">
        <f aca="false">X$3*$E128</f>
        <v>14.3573593974264</v>
      </c>
      <c r="Y128" s="177" t="n">
        <f aca="false">Y$3*$E128</f>
        <v>14.5695125992403</v>
      </c>
      <c r="Z128" s="177" t="n">
        <f aca="false">Z$3*$E128</f>
        <v>14.7046710743638</v>
      </c>
      <c r="AA128" s="177" t="n">
        <f aca="false">AA$3*$E128</f>
        <v>14.7891823870569</v>
      </c>
      <c r="AB128" s="177" t="n">
        <f aca="false">AB$3*$E128</f>
        <v>14.841408785108</v>
      </c>
      <c r="AC128" s="177" t="n">
        <f aca="false">AC$3*$E128</f>
        <v>14.8734499877225</v>
      </c>
      <c r="AD128" s="219" t="n">
        <f aca="false">Algae_electricity_factor/H128</f>
        <v>0.00184188674336451</v>
      </c>
      <c r="AE128" s="220" t="n">
        <f aca="false">Algae_electricity_factor/I128</f>
        <v>0.00184188674336451</v>
      </c>
      <c r="AF128" s="220" t="n">
        <f aca="false">Algae_electricity_factor/J128</f>
        <v>0.00184188674336451</v>
      </c>
      <c r="AG128" s="220" t="n">
        <f aca="false">Algae_electricity_factor/K128</f>
        <v>0.00184188674336451</v>
      </c>
      <c r="AH128" s="220" t="n">
        <f aca="false">Algae_electricity_factor/L128</f>
        <v>0.00184188674336451</v>
      </c>
      <c r="AI128" s="220" t="n">
        <f aca="false">Algae_electricity_factor/M128</f>
        <v>0.0017584888730854</v>
      </c>
      <c r="AJ128" s="220" t="n">
        <f aca="false">Algae_electricity_factor/N128</f>
        <v>0.00171201630249086</v>
      </c>
      <c r="AK128" s="220" t="n">
        <f aca="false">Algae_electricity_factor/O128</f>
        <v>0.00164571295081743</v>
      </c>
      <c r="AL128" s="220" t="n">
        <f aca="false">Algae_electricity_factor/P128</f>
        <v>0.00155771903285315</v>
      </c>
      <c r="AM128" s="220" t="n">
        <f aca="false">Algae_electricity_factor/Q128</f>
        <v>0.00145151439802158</v>
      </c>
      <c r="AN128" s="220" t="n">
        <f aca="false">Algae_electricity_factor/R128</f>
        <v>0.00133708338714347</v>
      </c>
      <c r="AO128" s="220" t="n">
        <f aca="false">Algae_electricity_factor/S128</f>
        <v>0.00122792449557634</v>
      </c>
      <c r="AP128" s="220" t="n">
        <f aca="false">Algae_electricity_factor/T128</f>
        <v>0.00113524370561579</v>
      </c>
      <c r="AQ128" s="220" t="n">
        <f aca="false">Algae_electricity_factor/U128</f>
        <v>0.00106402334739141</v>
      </c>
      <c r="AR128" s="220" t="n">
        <f aca="false">Algae_electricity_factor/V128</f>
        <v>0.00101337621510937</v>
      </c>
      <c r="AS128" s="220" t="n">
        <f aca="false">Algae_electricity_factor/W128</f>
        <v>0.000979311784844325</v>
      </c>
      <c r="AT128" s="220" t="n">
        <f aca="false">Algae_electricity_factor/X128</f>
        <v>0.000957251032247117</v>
      </c>
      <c r="AU128" s="220" t="n">
        <f aca="false">Algae_electricity_factor/Y128</f>
        <v>0.000943312071005442</v>
      </c>
      <c r="AV128" s="220" t="n">
        <f aca="false">Algae_electricity_factor/Z128</f>
        <v>0.000934641586610527</v>
      </c>
      <c r="AW128" s="220" t="n">
        <f aca="false">Algae_electricity_factor/AA128</f>
        <v>0.000929300670168033</v>
      </c>
      <c r="AX128" s="220" t="n">
        <f aca="false">Algae_electricity_factor/AB128</f>
        <v>0.000926030493636136</v>
      </c>
      <c r="AY128" s="220" t="n">
        <f aca="false">Algae_electricity_factor/AC128</f>
        <v>0.000924035587901535</v>
      </c>
      <c r="AZ128" s="221" t="n">
        <f aca="false">Algae_yield_cost_factor/H128</f>
        <v>0.101966459267796</v>
      </c>
      <c r="BA128" s="197" t="n">
        <f aca="false">Algae_yield_cost_factor/I128</f>
        <v>0.101966459267796</v>
      </c>
      <c r="BB128" s="197" t="n">
        <f aca="false">Algae_yield_cost_factor/J128</f>
        <v>0.101966459267796</v>
      </c>
      <c r="BC128" s="197" t="n">
        <f aca="false">Algae_yield_cost_factor/K128</f>
        <v>0.101966459267796</v>
      </c>
      <c r="BD128" s="197" t="n">
        <f aca="false">Algae_yield_cost_factor/L128</f>
        <v>0.101966459267796</v>
      </c>
      <c r="BE128" s="197" t="n">
        <f aca="false">Algae_yield_cost_factor/M128</f>
        <v>0.097349570866014</v>
      </c>
      <c r="BF128" s="197" t="n">
        <f aca="false">Algae_yield_cost_factor/N128</f>
        <v>0.0947768592192911</v>
      </c>
      <c r="BG128" s="197" t="n">
        <f aca="false">Algae_yield_cost_factor/O128</f>
        <v>0.0911063197400954</v>
      </c>
      <c r="BH128" s="197" t="n">
        <f aca="false">Algae_yield_cost_factor/P128</f>
        <v>0.0862349951137345</v>
      </c>
      <c r="BI128" s="197" t="n">
        <f aca="false">Algae_yield_cost_factor/Q128</f>
        <v>0.0803555290658803</v>
      </c>
      <c r="BJ128" s="197" t="n">
        <f aca="false">Algae_yield_cost_factor/R128</f>
        <v>0.0740206525857114</v>
      </c>
      <c r="BK128" s="197" t="n">
        <f aca="false">Algae_yield_cost_factor/S128</f>
        <v>0.0679776395118641</v>
      </c>
      <c r="BL128" s="197" t="n">
        <f aca="false">Algae_yield_cost_factor/T128</f>
        <v>0.0628468506463354</v>
      </c>
      <c r="BM128" s="197" t="n">
        <f aca="false">Algae_yield_cost_factor/U128</f>
        <v>0.0589041067278581</v>
      </c>
      <c r="BN128" s="197" t="n">
        <f aca="false">Algae_yield_cost_factor/V128</f>
        <v>0.0561002922319496</v>
      </c>
      <c r="BO128" s="197" t="n">
        <f aca="false">Algae_yield_cost_factor/W128</f>
        <v>0.054214492600884</v>
      </c>
      <c r="BP128" s="197" t="n">
        <f aca="false">Algae_yield_cost_factor/X128</f>
        <v>0.0529932140183523</v>
      </c>
      <c r="BQ128" s="197" t="n">
        <f aca="false">Algae_yield_cost_factor/Y128</f>
        <v>0.0522215560818342</v>
      </c>
      <c r="BR128" s="197" t="n">
        <f aca="false">Algae_yield_cost_factor/Z128</f>
        <v>0.051741559905592</v>
      </c>
      <c r="BS128" s="197" t="n">
        <f aca="false">Algae_yield_cost_factor/AA128</f>
        <v>0.0514458879046678</v>
      </c>
      <c r="BT128" s="197" t="n">
        <f aca="false">Algae_yield_cost_factor/AB128</f>
        <v>0.0512648516257872</v>
      </c>
      <c r="BU128" s="197" t="n">
        <f aca="false">Algae_yield_cost_factor/AC128</f>
        <v>0.051154414067635</v>
      </c>
    </row>
    <row r="129" customFormat="false" ht="15" hidden="false" customHeight="false" outlineLevel="0" collapsed="false">
      <c r="A129" s="18" t="s">
        <v>711</v>
      </c>
      <c r="B129" s="18" t="s">
        <v>22</v>
      </c>
      <c r="C129" s="18" t="s">
        <v>693</v>
      </c>
      <c r="D129" s="18" t="s">
        <v>693</v>
      </c>
      <c r="E129" s="28" t="n">
        <v>7.6746725</v>
      </c>
      <c r="F129" s="185" t="n">
        <f aca="false">E129/$B$2*$F$3/1000</f>
        <v>0.018802947625</v>
      </c>
      <c r="G129" s="18" t="n">
        <f aca="false">LOOKUP(RIGHT(D129,5),Ref!$C$4:$C$21,Ref!$E$4:$E$21)*$G$3</f>
        <v>3</v>
      </c>
      <c r="H129" s="218" t="n">
        <f aca="false">$E129</f>
        <v>7.6746725</v>
      </c>
      <c r="I129" s="177" t="n">
        <f aca="false">$E129</f>
        <v>7.6746725</v>
      </c>
      <c r="J129" s="177" t="n">
        <f aca="false">$E129</f>
        <v>7.6746725</v>
      </c>
      <c r="K129" s="177" t="n">
        <f aca="false">$E129</f>
        <v>7.6746725</v>
      </c>
      <c r="L129" s="177" t="n">
        <f aca="false">$E129</f>
        <v>7.6746725</v>
      </c>
      <c r="M129" s="177" t="n">
        <f aca="false">M$3*$E129</f>
        <v>8.03865054466436</v>
      </c>
      <c r="N129" s="177" t="n">
        <f aca="false">N$3*$E129</f>
        <v>8.25685918810909</v>
      </c>
      <c r="O129" s="177" t="n">
        <f aca="false">O$3*$E129</f>
        <v>8.58951588756279</v>
      </c>
      <c r="P129" s="177" t="n">
        <f aca="false">P$3*$E129</f>
        <v>9.07472865085474</v>
      </c>
      <c r="Q129" s="177" t="n">
        <f aca="false">Q$3*$E129</f>
        <v>9.73870983069921</v>
      </c>
      <c r="R129" s="177" t="n">
        <f aca="false">R$3*$E129</f>
        <v>10.5721734884567</v>
      </c>
      <c r="S129" s="177" t="n">
        <f aca="false">S$3*$E129</f>
        <v>11.51200875</v>
      </c>
      <c r="T129" s="177" t="n">
        <f aca="false">T$3*$E129</f>
        <v>12.4518440115433</v>
      </c>
      <c r="U129" s="177" t="n">
        <f aca="false">U$3*$E129</f>
        <v>13.2853076693008</v>
      </c>
      <c r="V129" s="177" t="n">
        <f aca="false">V$3*$E129</f>
        <v>13.9492888491453</v>
      </c>
      <c r="W129" s="177" t="n">
        <f aca="false">W$3*$E129</f>
        <v>14.4345016124372</v>
      </c>
      <c r="X129" s="177" t="n">
        <f aca="false">X$3*$E129</f>
        <v>14.7671583118909</v>
      </c>
      <c r="Y129" s="177" t="n">
        <f aca="false">Y$3*$E129</f>
        <v>14.9853669553356</v>
      </c>
      <c r="Z129" s="177" t="n">
        <f aca="false">Z$3*$E129</f>
        <v>15.1243832287389</v>
      </c>
      <c r="AA129" s="177" t="n">
        <f aca="false">AA$3*$E129</f>
        <v>15.2113067290247</v>
      </c>
      <c r="AB129" s="177" t="n">
        <f aca="false">AB$3*$E129</f>
        <v>15.2650238135339</v>
      </c>
      <c r="AC129" s="177" t="n">
        <f aca="false">AC$3*$E129</f>
        <v>15.2979795610648</v>
      </c>
      <c r="AD129" s="219" t="n">
        <f aca="false">Algae_electricity_factor/H129</f>
        <v>0.00179077310511025</v>
      </c>
      <c r="AE129" s="220" t="n">
        <f aca="false">Algae_electricity_factor/I129</f>
        <v>0.00179077310511025</v>
      </c>
      <c r="AF129" s="220" t="n">
        <f aca="false">Algae_electricity_factor/J129</f>
        <v>0.00179077310511025</v>
      </c>
      <c r="AG129" s="220" t="n">
        <f aca="false">Algae_electricity_factor/K129</f>
        <v>0.00179077310511025</v>
      </c>
      <c r="AH129" s="220" t="n">
        <f aca="false">Algae_electricity_factor/L129</f>
        <v>0.00179077310511025</v>
      </c>
      <c r="AI129" s="220" t="n">
        <f aca="false">Algae_electricity_factor/M129</f>
        <v>0.00170968958373885</v>
      </c>
      <c r="AJ129" s="220" t="n">
        <f aca="false">Algae_electricity_factor/N129</f>
        <v>0.00166450665930234</v>
      </c>
      <c r="AK129" s="220" t="n">
        <f aca="false">Algae_electricity_factor/O129</f>
        <v>0.0016000432717552</v>
      </c>
      <c r="AL129" s="220" t="n">
        <f aca="false">Algae_electricity_factor/P129</f>
        <v>0.00151449124621867</v>
      </c>
      <c r="AM129" s="220" t="n">
        <f aca="false">Algae_electricity_factor/Q129</f>
        <v>0.0014112338638744</v>
      </c>
      <c r="AN129" s="220" t="n">
        <f aca="false">Algae_electricity_factor/R129</f>
        <v>0.00129997839314075</v>
      </c>
      <c r="AO129" s="220" t="n">
        <f aca="false">Algae_electricity_factor/S129</f>
        <v>0.00119384873674017</v>
      </c>
      <c r="AP129" s="220" t="n">
        <f aca="false">Algae_electricity_factor/T129</f>
        <v>0.00110373990316523</v>
      </c>
      <c r="AQ129" s="220" t="n">
        <f aca="false">Algae_electricity_factor/U129</f>
        <v>0.00103449595941895</v>
      </c>
      <c r="AR129" s="220" t="n">
        <f aca="false">Algae_electricity_factor/V129</f>
        <v>0.000985254320285395</v>
      </c>
      <c r="AS129" s="220" t="n">
        <f aca="false">Algae_electricity_factor/W129</f>
        <v>0.000952135201653749</v>
      </c>
      <c r="AT129" s="220" t="n">
        <f aca="false">Algae_electricity_factor/X129</f>
        <v>0.000930686650285488</v>
      </c>
      <c r="AU129" s="220" t="n">
        <f aca="false">Algae_electricity_factor/Y129</f>
        <v>0.000917134504913526</v>
      </c>
      <c r="AV129" s="220" t="n">
        <f aca="false">Algae_electricity_factor/Z129</f>
        <v>0.000908704632491332</v>
      </c>
      <c r="AW129" s="220" t="n">
        <f aca="false">Algae_electricity_factor/AA129</f>
        <v>0.000903511930194997</v>
      </c>
      <c r="AX129" s="220" t="n">
        <f aca="false">Algae_electricity_factor/AB129</f>
        <v>0.000900332503336434</v>
      </c>
      <c r="AY129" s="220" t="n">
        <f aca="false">Algae_electricity_factor/AC129</f>
        <v>0.000898392957623527</v>
      </c>
      <c r="AZ129" s="221" t="n">
        <f aca="false">Algae_yield_cost_factor/H129</f>
        <v>0.0991368191002571</v>
      </c>
      <c r="BA129" s="197" t="n">
        <f aca="false">Algae_yield_cost_factor/I129</f>
        <v>0.0991368191002571</v>
      </c>
      <c r="BB129" s="197" t="n">
        <f aca="false">Algae_yield_cost_factor/J129</f>
        <v>0.0991368191002571</v>
      </c>
      <c r="BC129" s="197" t="n">
        <f aca="false">Algae_yield_cost_factor/K129</f>
        <v>0.0991368191002571</v>
      </c>
      <c r="BD129" s="197" t="n">
        <f aca="false">Algae_yield_cost_factor/L129</f>
        <v>0.0991368191002571</v>
      </c>
      <c r="BE129" s="197" t="n">
        <f aca="false">Algae_yield_cost_factor/M129</f>
        <v>0.0946480525629051</v>
      </c>
      <c r="BF129" s="197" t="n">
        <f aca="false">Algae_yield_cost_factor/N129</f>
        <v>0.0921467354538305</v>
      </c>
      <c r="BG129" s="197" t="n">
        <f aca="false">Algae_yield_cost_factor/O129</f>
        <v>0.0885780559982294</v>
      </c>
      <c r="BH129" s="197" t="n">
        <f aca="false">Algae_yield_cost_factor/P129</f>
        <v>0.083841914018504</v>
      </c>
      <c r="BI129" s="197" t="n">
        <f aca="false">Algae_yield_cost_factor/Q129</f>
        <v>0.0781256072429454</v>
      </c>
      <c r="BJ129" s="197" t="n">
        <f aca="false">Algae_yield_cost_factor/R129</f>
        <v>0.0719665279913299</v>
      </c>
      <c r="BK129" s="197" t="n">
        <f aca="false">Algae_yield_cost_factor/S129</f>
        <v>0.0660912127335047</v>
      </c>
      <c r="BL129" s="197" t="n">
        <f aca="false">Algae_yield_cost_factor/T129</f>
        <v>0.061102806827719</v>
      </c>
      <c r="BM129" s="197" t="n">
        <f aca="false">Algae_yield_cost_factor/U129</f>
        <v>0.0572694767953584</v>
      </c>
      <c r="BN129" s="197" t="n">
        <f aca="false">Algae_yield_cost_factor/V129</f>
        <v>0.0545434701019069</v>
      </c>
      <c r="BO129" s="197" t="n">
        <f aca="false">Algae_yield_cost_factor/W129</f>
        <v>0.0527100027222729</v>
      </c>
      <c r="BP129" s="197" t="n">
        <f aca="false">Algae_yield_cost_factor/X129</f>
        <v>0.0515226154698678</v>
      </c>
      <c r="BQ129" s="197" t="n">
        <f aca="false">Algae_yield_cost_factor/Y129</f>
        <v>0.0507723715778154</v>
      </c>
      <c r="BR129" s="197" t="n">
        <f aca="false">Algae_yield_cost_factor/Z129</f>
        <v>0.0503056956293257</v>
      </c>
      <c r="BS129" s="197" t="n">
        <f aca="false">Algae_yield_cost_factor/AA129</f>
        <v>0.0500182287320821</v>
      </c>
      <c r="BT129" s="197" t="n">
        <f aca="false">Algae_yield_cost_factor/AB129</f>
        <v>0.0498422163358604</v>
      </c>
      <c r="BU129" s="197" t="n">
        <f aca="false">Algae_yield_cost_factor/AC129</f>
        <v>0.0497348434967618</v>
      </c>
    </row>
    <row r="130" customFormat="false" ht="15" hidden="false" customHeight="false" outlineLevel="0" collapsed="false">
      <c r="A130" s="18" t="s">
        <v>711</v>
      </c>
      <c r="B130" s="18" t="s">
        <v>22</v>
      </c>
      <c r="C130" s="18" t="s">
        <v>694</v>
      </c>
      <c r="D130" s="18" t="s">
        <v>694</v>
      </c>
      <c r="E130" s="28" t="n">
        <v>7.07247725</v>
      </c>
      <c r="F130" s="185" t="n">
        <f aca="false">E130/$B$2*$F$3/1000</f>
        <v>0.0173275692625</v>
      </c>
      <c r="G130" s="18" t="n">
        <f aca="false">LOOKUP(RIGHT(D130,5),Ref!$C$4:$C$21,Ref!$E$4:$E$21)*$G$3</f>
        <v>3</v>
      </c>
      <c r="H130" s="218" t="n">
        <f aca="false">$E130</f>
        <v>7.07247725</v>
      </c>
      <c r="I130" s="177" t="n">
        <f aca="false">$E130</f>
        <v>7.07247725</v>
      </c>
      <c r="J130" s="177" t="n">
        <f aca="false">$E130</f>
        <v>7.07247725</v>
      </c>
      <c r="K130" s="177" t="n">
        <f aca="false">$E130</f>
        <v>7.07247725</v>
      </c>
      <c r="L130" s="177" t="n">
        <f aca="false">$E130</f>
        <v>7.07247725</v>
      </c>
      <c r="M130" s="177" t="n">
        <f aca="false">M$3*$E130</f>
        <v>7.40789565910973</v>
      </c>
      <c r="N130" s="177" t="n">
        <f aca="false">N$3*$E130</f>
        <v>7.60898250242665</v>
      </c>
      <c r="O130" s="177" t="n">
        <f aca="false">O$3*$E130</f>
        <v>7.91553720413495</v>
      </c>
      <c r="P130" s="177" t="n">
        <f aca="false">P$3*$E130</f>
        <v>8.36267761693979</v>
      </c>
      <c r="Q130" s="177" t="n">
        <f aca="false">Q$3*$E130</f>
        <v>8.97455933422196</v>
      </c>
      <c r="R130" s="177" t="n">
        <f aca="false">R$3*$E130</f>
        <v>9.74262504102467</v>
      </c>
      <c r="S130" s="177" t="n">
        <f aca="false">S$3*$E130</f>
        <v>10.608715875</v>
      </c>
      <c r="T130" s="177" t="n">
        <f aca="false">T$3*$E130</f>
        <v>11.4748067089753</v>
      </c>
      <c r="U130" s="177" t="n">
        <f aca="false">U$3*$E130</f>
        <v>12.242872415778</v>
      </c>
      <c r="V130" s="177" t="n">
        <f aca="false">V$3*$E130</f>
        <v>12.8547541330602</v>
      </c>
      <c r="W130" s="177" t="n">
        <f aca="false">W$3*$E130</f>
        <v>13.301894545865</v>
      </c>
      <c r="X130" s="177" t="n">
        <f aca="false">X$3*$E130</f>
        <v>13.6084492475734</v>
      </c>
      <c r="Y130" s="177" t="n">
        <f aca="false">Y$3*$E130</f>
        <v>13.8095360908903</v>
      </c>
      <c r="Z130" s="177" t="n">
        <f aca="false">Z$3*$E130</f>
        <v>13.9376444148643</v>
      </c>
      <c r="AA130" s="177" t="n">
        <f aca="false">AA$3*$E130</f>
        <v>14.0177474392294</v>
      </c>
      <c r="AB130" s="177" t="n">
        <f aca="false">AB$3*$E130</f>
        <v>14.0672495981981</v>
      </c>
      <c r="AC130" s="177" t="n">
        <f aca="false">AC$3*$E130</f>
        <v>14.0976194641004</v>
      </c>
      <c r="AD130" s="219" t="n">
        <f aca="false">Algae_electricity_factor/H130</f>
        <v>0.00194325080416897</v>
      </c>
      <c r="AE130" s="220" t="n">
        <f aca="false">Algae_electricity_factor/I130</f>
        <v>0.00194325080416897</v>
      </c>
      <c r="AF130" s="220" t="n">
        <f aca="false">Algae_electricity_factor/J130</f>
        <v>0.00194325080416897</v>
      </c>
      <c r="AG130" s="220" t="n">
        <f aca="false">Algae_electricity_factor/K130</f>
        <v>0.00194325080416897</v>
      </c>
      <c r="AH130" s="220" t="n">
        <f aca="false">Algae_electricity_factor/L130</f>
        <v>0.00194325080416897</v>
      </c>
      <c r="AI130" s="220" t="n">
        <f aca="false">Algae_electricity_factor/M130</f>
        <v>0.00185526332118735</v>
      </c>
      <c r="AJ130" s="220" t="n">
        <f aca="false">Algae_electricity_factor/N130</f>
        <v>0.00180623323803756</v>
      </c>
      <c r="AK130" s="220" t="n">
        <f aca="false">Algae_electricity_factor/O130</f>
        <v>0.00173628103173463</v>
      </c>
      <c r="AL130" s="220" t="n">
        <f aca="false">Algae_electricity_factor/P130</f>
        <v>0.00164344456800411</v>
      </c>
      <c r="AM130" s="220" t="n">
        <f aca="false">Algae_electricity_factor/Q130</f>
        <v>0.00153139520189275</v>
      </c>
      <c r="AN130" s="220" t="n">
        <f aca="false">Algae_electricity_factor/R130</f>
        <v>0.00141066673978082</v>
      </c>
      <c r="AO130" s="220" t="n">
        <f aca="false">Algae_electricity_factor/S130</f>
        <v>0.00129550053611265</v>
      </c>
      <c r="AP130" s="220" t="n">
        <f aca="false">Algae_electricity_factor/T130</f>
        <v>0.00119771926901212</v>
      </c>
      <c r="AQ130" s="220" t="n">
        <f aca="false">Algae_electricity_factor/U130</f>
        <v>0.00112257945985104</v>
      </c>
      <c r="AR130" s="220" t="n">
        <f aca="false">Algae_electricity_factor/V130</f>
        <v>0.00106914507747629</v>
      </c>
      <c r="AS130" s="220" t="n">
        <f aca="false">Algae_electricity_factor/W130</f>
        <v>0.00103320598852601</v>
      </c>
      <c r="AT130" s="220" t="n">
        <f aca="false">Algae_electricity_factor/X130</f>
        <v>0.00100993117242804</v>
      </c>
      <c r="AU130" s="220" t="n">
        <f aca="false">Algae_electricity_factor/Y130</f>
        <v>0.000995225112058289</v>
      </c>
      <c r="AV130" s="220" t="n">
        <f aca="false">Algae_electricity_factor/Z130</f>
        <v>0.000986077467213321</v>
      </c>
      <c r="AW130" s="220" t="n">
        <f aca="false">Algae_electricity_factor/AA130</f>
        <v>0.000980442625543894</v>
      </c>
      <c r="AX130" s="220" t="n">
        <f aca="false">Algae_electricity_factor/AB130</f>
        <v>0.000976992482261047</v>
      </c>
      <c r="AY130" s="220" t="n">
        <f aca="false">Algae_electricity_factor/AC130</f>
        <v>0.0009748877914124</v>
      </c>
      <c r="AZ130" s="221" t="n">
        <f aca="false">Algae_yield_cost_factor/H130</f>
        <v>0.10757795216467</v>
      </c>
      <c r="BA130" s="197" t="n">
        <f aca="false">Algae_yield_cost_factor/I130</f>
        <v>0.10757795216467</v>
      </c>
      <c r="BB130" s="197" t="n">
        <f aca="false">Algae_yield_cost_factor/J130</f>
        <v>0.10757795216467</v>
      </c>
      <c r="BC130" s="197" t="n">
        <f aca="false">Algae_yield_cost_factor/K130</f>
        <v>0.10757795216467</v>
      </c>
      <c r="BD130" s="197" t="n">
        <f aca="false">Algae_yield_cost_factor/L130</f>
        <v>0.10757795216467</v>
      </c>
      <c r="BE130" s="197" t="n">
        <f aca="false">Algae_yield_cost_factor/M130</f>
        <v>0.102706983777584</v>
      </c>
      <c r="BF130" s="197" t="n">
        <f aca="false">Algae_yield_cost_factor/N130</f>
        <v>0.0999926887785023</v>
      </c>
      <c r="BG130" s="197" t="n">
        <f aca="false">Algae_yield_cost_factor/O130</f>
        <v>0.0961201494812968</v>
      </c>
      <c r="BH130" s="197" t="n">
        <f aca="false">Algae_yield_cost_factor/P130</f>
        <v>0.0909807425488964</v>
      </c>
      <c r="BI130" s="197" t="n">
        <f aca="false">Algae_yield_cost_factor/Q130</f>
        <v>0.0847777134176336</v>
      </c>
      <c r="BJ130" s="197" t="n">
        <f aca="false">Algae_yield_cost_factor/R130</f>
        <v>0.0780942113734675</v>
      </c>
      <c r="BK130" s="197" t="n">
        <f aca="false">Algae_yield_cost_factor/S130</f>
        <v>0.0717186347764467</v>
      </c>
      <c r="BL130" s="197" t="n">
        <f aca="false">Algae_yield_cost_factor/T130</f>
        <v>0.0663054845787602</v>
      </c>
      <c r="BM130" s="197" t="n">
        <f aca="false">Algae_yield_cost_factor/U130</f>
        <v>0.0621457606881273</v>
      </c>
      <c r="BN130" s="197" t="n">
        <f aca="false">Algae_yield_cost_factor/V130</f>
        <v>0.0591876446185355</v>
      </c>
      <c r="BO130" s="197" t="n">
        <f aca="false">Algae_yield_cost_factor/W130</f>
        <v>0.0571980642804546</v>
      </c>
      <c r="BP130" s="197" t="n">
        <f aca="false">Algae_yield_cost_factor/X130</f>
        <v>0.0559095754001427</v>
      </c>
      <c r="BQ130" s="197" t="n">
        <f aca="false">Algae_yield_cost_factor/Y130</f>
        <v>0.0550954510186712</v>
      </c>
      <c r="BR130" s="197" t="n">
        <f aca="false">Algae_yield_cost_factor/Z130</f>
        <v>0.0545890393411666</v>
      </c>
      <c r="BS130" s="197" t="n">
        <f aca="false">Algae_yield_cost_factor/AA130</f>
        <v>0.0542770957020499</v>
      </c>
      <c r="BT130" s="197" t="n">
        <f aca="false">Algae_yield_cost_factor/AB130</f>
        <v>0.0540860965020253</v>
      </c>
      <c r="BU130" s="197" t="n">
        <f aca="false">Algae_yield_cost_factor/AC130</f>
        <v>0.0539695812632556</v>
      </c>
    </row>
    <row r="131" customFormat="false" ht="15" hidden="false" customHeight="false" outlineLevel="0" collapsed="false">
      <c r="A131" s="18" t="s">
        <v>711</v>
      </c>
      <c r="B131" s="18" t="s">
        <v>22</v>
      </c>
      <c r="C131" s="18" t="s">
        <v>682</v>
      </c>
      <c r="D131" s="18" t="s">
        <v>682</v>
      </c>
      <c r="E131" s="28" t="n">
        <v>6.127985</v>
      </c>
      <c r="F131" s="185" t="n">
        <f aca="false">E131/$B$2*$F$3/1000</f>
        <v>0.01501356325</v>
      </c>
      <c r="G131" s="18" t="n">
        <f aca="false">LOOKUP(RIGHT(D131,5),Ref!$C$4:$C$21,Ref!$E$4:$E$21)*$G$3</f>
        <v>3</v>
      </c>
      <c r="H131" s="218" t="n">
        <f aca="false">$E131</f>
        <v>6.127985</v>
      </c>
      <c r="I131" s="177" t="n">
        <f aca="false">$E131</f>
        <v>6.127985</v>
      </c>
      <c r="J131" s="177" t="n">
        <f aca="false">$E131</f>
        <v>6.127985</v>
      </c>
      <c r="K131" s="177" t="n">
        <f aca="false">$E131</f>
        <v>6.127985</v>
      </c>
      <c r="L131" s="177" t="n">
        <f aca="false">$E131</f>
        <v>6.127985</v>
      </c>
      <c r="M131" s="177" t="n">
        <f aca="false">M$3*$E131</f>
        <v>6.41861003944403</v>
      </c>
      <c r="N131" s="177" t="n">
        <f aca="false">N$3*$E131</f>
        <v>6.59284278929748</v>
      </c>
      <c r="O131" s="177" t="n">
        <f aca="false">O$3*$E131</f>
        <v>6.85845871810771</v>
      </c>
      <c r="P131" s="177" t="n">
        <f aca="false">P$3*$E131</f>
        <v>7.2458858735025</v>
      </c>
      <c r="Q131" s="177" t="n">
        <f aca="false">Q$3*$E131</f>
        <v>7.77605399603401</v>
      </c>
      <c r="R131" s="177" t="n">
        <f aca="false">R$3*$E131</f>
        <v>8.441548555285</v>
      </c>
      <c r="S131" s="177" t="n">
        <f aca="false">S$3*$E131</f>
        <v>9.1919775</v>
      </c>
      <c r="T131" s="177" t="n">
        <f aca="false">T$3*$E131</f>
        <v>9.942406444715</v>
      </c>
      <c r="U131" s="177" t="n">
        <f aca="false">U$3*$E131</f>
        <v>10.607901003966</v>
      </c>
      <c r="V131" s="177" t="n">
        <f aca="false">V$3*$E131</f>
        <v>11.1380691264975</v>
      </c>
      <c r="W131" s="177" t="n">
        <f aca="false">W$3*$E131</f>
        <v>11.5254962818923</v>
      </c>
      <c r="X131" s="177" t="n">
        <f aca="false">X$3*$E131</f>
        <v>11.7911122107025</v>
      </c>
      <c r="Y131" s="177" t="n">
        <f aca="false">Y$3*$E131</f>
        <v>11.965344960556</v>
      </c>
      <c r="Z131" s="177" t="n">
        <f aca="false">Z$3*$E131</f>
        <v>12.0763450896391</v>
      </c>
      <c r="AA131" s="177" t="n">
        <f aca="false">AA$3*$E131</f>
        <v>12.1457507751455</v>
      </c>
      <c r="AB131" s="177" t="n">
        <f aca="false">AB$3*$E131</f>
        <v>12.1886421803639</v>
      </c>
      <c r="AC131" s="177" t="n">
        <f aca="false">AC$3*$E131</f>
        <v>12.2149563099287</v>
      </c>
      <c r="AD131" s="219" t="n">
        <f aca="false">Algae_electricity_factor/H131</f>
        <v>0.00224275958631251</v>
      </c>
      <c r="AE131" s="220" t="n">
        <f aca="false">Algae_electricity_factor/I131</f>
        <v>0.00224275958631251</v>
      </c>
      <c r="AF131" s="220" t="n">
        <f aca="false">Algae_electricity_factor/J131</f>
        <v>0.00224275958631251</v>
      </c>
      <c r="AG131" s="220" t="n">
        <f aca="false">Algae_electricity_factor/K131</f>
        <v>0.00224275958631251</v>
      </c>
      <c r="AH131" s="220" t="n">
        <f aca="false">Algae_electricity_factor/L131</f>
        <v>0.00224275958631251</v>
      </c>
      <c r="AI131" s="220" t="n">
        <f aca="false">Algae_electricity_factor/M131</f>
        <v>0.00214121079471588</v>
      </c>
      <c r="AJ131" s="220" t="n">
        <f aca="false">Algae_electricity_factor/N131</f>
        <v>0.00208462381748887</v>
      </c>
      <c r="AK131" s="220" t="n">
        <f aca="false">Algae_electricity_factor/O131</f>
        <v>0.00200389003833229</v>
      </c>
      <c r="AL131" s="220" t="n">
        <f aca="false">Algae_electricity_factor/P131</f>
        <v>0.00189674490372368</v>
      </c>
      <c r="AM131" s="220" t="n">
        <f aca="false">Algae_electricity_factor/Q131</f>
        <v>0.00176742562622879</v>
      </c>
      <c r="AN131" s="220" t="n">
        <f aca="false">Algae_electricity_factor/R131</f>
        <v>0.00162808956360558</v>
      </c>
      <c r="AO131" s="220" t="n">
        <f aca="false">Algae_electricity_factor/S131</f>
        <v>0.00149517305754167</v>
      </c>
      <c r="AP131" s="220" t="n">
        <f aca="false">Algae_electricity_factor/T131</f>
        <v>0.00138232098837951</v>
      </c>
      <c r="AQ131" s="220" t="n">
        <f aca="false">Algae_electricity_factor/U131</f>
        <v>0.00129560005305394</v>
      </c>
      <c r="AR131" s="220" t="n">
        <f aca="false">Algae_electricity_factor/V131</f>
        <v>0.00123392995208058</v>
      </c>
      <c r="AS131" s="220" t="n">
        <f aca="false">Algae_electricity_factor/W131</f>
        <v>0.00119245165391462</v>
      </c>
      <c r="AT131" s="220" t="n">
        <f aca="false">Algae_electricity_factor/X131</f>
        <v>0.00116558954388158</v>
      </c>
      <c r="AU131" s="220" t="n">
        <f aca="false">Algae_electricity_factor/Y131</f>
        <v>0.00114861687221182</v>
      </c>
      <c r="AV131" s="220" t="n">
        <f aca="false">Algae_electricity_factor/Z131</f>
        <v>0.00113805932188212</v>
      </c>
      <c r="AW131" s="220" t="n">
        <f aca="false">Algae_electricity_factor/AA131</f>
        <v>0.00113155599501132</v>
      </c>
      <c r="AX131" s="220" t="n">
        <f aca="false">Algae_electricity_factor/AB131</f>
        <v>0.00112757408907043</v>
      </c>
      <c r="AY131" s="220" t="n">
        <f aca="false">Algae_electricity_factor/AC131</f>
        <v>0.00112514500705647</v>
      </c>
      <c r="AZ131" s="221" t="n">
        <f aca="false">Algae_yield_cost_factor/H131</f>
        <v>0.124158694788942</v>
      </c>
      <c r="BA131" s="197" t="n">
        <f aca="false">Algae_yield_cost_factor/I131</f>
        <v>0.124158694788942</v>
      </c>
      <c r="BB131" s="197" t="n">
        <f aca="false">Algae_yield_cost_factor/J131</f>
        <v>0.124158694788942</v>
      </c>
      <c r="BC131" s="197" t="n">
        <f aca="false">Algae_yield_cost_factor/K131</f>
        <v>0.124158694788942</v>
      </c>
      <c r="BD131" s="197" t="n">
        <f aca="false">Algae_yield_cost_factor/L131</f>
        <v>0.124158694788942</v>
      </c>
      <c r="BE131" s="197" t="n">
        <f aca="false">Algae_yield_cost_factor/M131</f>
        <v>0.118536975234613</v>
      </c>
      <c r="BF131" s="197" t="n">
        <f aca="false">Algae_yield_cost_factor/N131</f>
        <v>0.115404332182975</v>
      </c>
      <c r="BG131" s="197" t="n">
        <f aca="false">Algae_yield_cost_factor/O131</f>
        <v>0.110934927300421</v>
      </c>
      <c r="BH131" s="197" t="n">
        <f aca="false">Algae_yield_cost_factor/P131</f>
        <v>0.105003395384482</v>
      </c>
      <c r="BI131" s="197" t="n">
        <f aca="false">Algae_yield_cost_factor/Q131</f>
        <v>0.0978443076236697</v>
      </c>
      <c r="BJ131" s="197" t="n">
        <f aca="false">Algae_yield_cost_factor/R131</f>
        <v>0.0901306927636964</v>
      </c>
      <c r="BK131" s="197" t="n">
        <f aca="false">Algae_yield_cost_factor/S131</f>
        <v>0.0827724631926283</v>
      </c>
      <c r="BL131" s="197" t="n">
        <f aca="false">Algae_yield_cost_factor/T131</f>
        <v>0.0765249965908055</v>
      </c>
      <c r="BM131" s="197" t="n">
        <f aca="false">Algae_yield_cost_factor/U131</f>
        <v>0.0717241440131993</v>
      </c>
      <c r="BN131" s="197" t="n">
        <f aca="false">Algae_yield_cost_factor/V131</f>
        <v>0.0683101003095923</v>
      </c>
      <c r="BO131" s="197" t="n">
        <f aca="false">Algae_yield_cost_factor/W131</f>
        <v>0.0660138705247407</v>
      </c>
      <c r="BP131" s="197" t="n">
        <f aca="false">Algae_yield_cost_factor/X131</f>
        <v>0.0645267898134002</v>
      </c>
      <c r="BQ131" s="197" t="n">
        <f aca="false">Algae_yield_cost_factor/Y131</f>
        <v>0.063587186311331</v>
      </c>
      <c r="BR131" s="197" t="n">
        <f aca="false">Algae_yield_cost_factor/Z131</f>
        <v>0.0630027225653712</v>
      </c>
      <c r="BS131" s="197" t="n">
        <f aca="false">Algae_yield_cost_factor/AA131</f>
        <v>0.0626426997697972</v>
      </c>
      <c r="BT131" s="197" t="n">
        <f aca="false">Algae_yield_cost_factor/AB131</f>
        <v>0.0624222623018625</v>
      </c>
      <c r="BU131" s="197" t="n">
        <f aca="false">Algae_yield_cost_factor/AC131</f>
        <v>0.062287788837016</v>
      </c>
    </row>
    <row r="132" customFormat="false" ht="15" hidden="false" customHeight="false" outlineLevel="0" collapsed="false">
      <c r="A132" s="18" t="s">
        <v>711</v>
      </c>
      <c r="B132" s="18" t="s">
        <v>22</v>
      </c>
      <c r="C132" s="18" t="s">
        <v>683</v>
      </c>
      <c r="D132" s="18" t="s">
        <v>683</v>
      </c>
      <c r="E132" s="28" t="n">
        <v>7.383585</v>
      </c>
      <c r="F132" s="185" t="n">
        <f aca="false">E132/$B$2*$F$3/1000</f>
        <v>0.01808978325</v>
      </c>
      <c r="G132" s="18" t="n">
        <f aca="false">LOOKUP(RIGHT(D132,5),Ref!$C$4:$C$21,Ref!$E$4:$E$21)*$G$3</f>
        <v>3</v>
      </c>
      <c r="H132" s="218" t="n">
        <f aca="false">$E132</f>
        <v>7.383585</v>
      </c>
      <c r="I132" s="177" t="n">
        <f aca="false">$E132</f>
        <v>7.383585</v>
      </c>
      <c r="J132" s="177" t="n">
        <f aca="false">$E132</f>
        <v>7.383585</v>
      </c>
      <c r="K132" s="177" t="n">
        <f aca="false">$E132</f>
        <v>7.383585</v>
      </c>
      <c r="L132" s="177" t="n">
        <f aca="false">$E132</f>
        <v>7.383585</v>
      </c>
      <c r="M132" s="177" t="n">
        <f aca="false">M$3*$E132</f>
        <v>7.73375796580578</v>
      </c>
      <c r="N132" s="177" t="n">
        <f aca="false">N$3*$E132</f>
        <v>7.94369032013215</v>
      </c>
      <c r="O132" s="177" t="n">
        <f aca="false">O$3*$E132</f>
        <v>8.26372990699868</v>
      </c>
      <c r="P132" s="177" t="n">
        <f aca="false">P$3*$E132</f>
        <v>8.73053936119376</v>
      </c>
      <c r="Q132" s="177" t="n">
        <f aca="false">Q$3*$E132</f>
        <v>9.36933684470618</v>
      </c>
      <c r="R132" s="177" t="n">
        <f aca="false">R$3*$E132</f>
        <v>10.171188619028</v>
      </c>
      <c r="S132" s="177" t="n">
        <f aca="false">S$3*$E132</f>
        <v>11.0753775</v>
      </c>
      <c r="T132" s="177" t="n">
        <f aca="false">T$3*$E132</f>
        <v>11.979566380972</v>
      </c>
      <c r="U132" s="177" t="n">
        <f aca="false">U$3*$E132</f>
        <v>12.7814181552938</v>
      </c>
      <c r="V132" s="177" t="n">
        <f aca="false">V$3*$E132</f>
        <v>13.4202156388062</v>
      </c>
      <c r="W132" s="177" t="n">
        <f aca="false">W$3*$E132</f>
        <v>13.8870250930013</v>
      </c>
      <c r="X132" s="177" t="n">
        <f aca="false">X$3*$E132</f>
        <v>14.2070646798678</v>
      </c>
      <c r="Y132" s="177" t="n">
        <f aca="false">Y$3*$E132</f>
        <v>14.4169970341942</v>
      </c>
      <c r="Z132" s="177" t="n">
        <f aca="false">Z$3*$E132</f>
        <v>14.5507406527077</v>
      </c>
      <c r="AA132" s="177" t="n">
        <f aca="false">AA$3*$E132</f>
        <v>14.6343672899171</v>
      </c>
      <c r="AB132" s="177" t="n">
        <f aca="false">AB$3*$E132</f>
        <v>14.6860469751969</v>
      </c>
      <c r="AC132" s="177" t="n">
        <f aca="false">AC$3*$E132</f>
        <v>14.7177527663082</v>
      </c>
      <c r="AD132" s="219" t="n">
        <f aca="false">Algae_electricity_factor/H132</f>
        <v>0.00186137182730737</v>
      </c>
      <c r="AE132" s="220" t="n">
        <f aca="false">Algae_electricity_factor/I132</f>
        <v>0.00186137182730737</v>
      </c>
      <c r="AF132" s="220" t="n">
        <f aca="false">Algae_electricity_factor/J132</f>
        <v>0.00186137182730737</v>
      </c>
      <c r="AG132" s="220" t="n">
        <f aca="false">Algae_electricity_factor/K132</f>
        <v>0.00186137182730737</v>
      </c>
      <c r="AH132" s="220" t="n">
        <f aca="false">Algae_electricity_factor/L132</f>
        <v>0.00186137182730737</v>
      </c>
      <c r="AI132" s="220" t="n">
        <f aca="false">Algae_electricity_factor/M132</f>
        <v>0.00177709170164046</v>
      </c>
      <c r="AJ132" s="220" t="n">
        <f aca="false">Algae_electricity_factor/N132</f>
        <v>0.00173012750367396</v>
      </c>
      <c r="AK132" s="220" t="n">
        <f aca="false">Algae_electricity_factor/O132</f>
        <v>0.00166312273733555</v>
      </c>
      <c r="AL132" s="220" t="n">
        <f aca="false">Algae_electricity_factor/P132</f>
        <v>0.00157419794298368</v>
      </c>
      <c r="AM132" s="220" t="n">
        <f aca="false">Algae_electricity_factor/Q132</f>
        <v>0.00146686978292328</v>
      </c>
      <c r="AN132" s="220" t="n">
        <f aca="false">Algae_electricity_factor/R132</f>
        <v>0.00135122822103782</v>
      </c>
      <c r="AO132" s="220" t="n">
        <f aca="false">Algae_electricity_factor/S132</f>
        <v>0.00124091455153824</v>
      </c>
      <c r="AP132" s="220" t="n">
        <f aca="false">Algae_electricity_factor/T132</f>
        <v>0.00114725330337158</v>
      </c>
      <c r="AQ132" s="220" t="n">
        <f aca="false">Algae_electricity_factor/U132</f>
        <v>0.00107527951409969</v>
      </c>
      <c r="AR132" s="220" t="n">
        <f aca="false">Algae_electricity_factor/V132</f>
        <v>0.0010240965922923</v>
      </c>
      <c r="AS132" s="220" t="n">
        <f aca="false">Algae_electricity_factor/W132</f>
        <v>0.000989671798782567</v>
      </c>
      <c r="AT132" s="220" t="n">
        <f aca="false">Algae_electricity_factor/X132</f>
        <v>0.00096737766830925</v>
      </c>
      <c r="AU132" s="220" t="n">
        <f aca="false">Algae_electricity_factor/Y132</f>
        <v>0.000953291248581949</v>
      </c>
      <c r="AV132" s="220" t="n">
        <f aca="false">Algae_electricity_factor/Z132</f>
        <v>0.000944529040243165</v>
      </c>
      <c r="AW132" s="220" t="n">
        <f aca="false">Algae_electricity_factor/AA132</f>
        <v>0.00093913162292971</v>
      </c>
      <c r="AX132" s="220" t="n">
        <f aca="false">Algae_electricity_factor/AB132</f>
        <v>0.000935826851619137</v>
      </c>
      <c r="AY132" s="220" t="n">
        <f aca="false">Algae_electricity_factor/AC132</f>
        <v>0.000933810842032285</v>
      </c>
      <c r="AZ132" s="221" t="n">
        <f aca="false">Algae_yield_cost_factor/H132</f>
        <v>0.103045149380175</v>
      </c>
      <c r="BA132" s="197" t="n">
        <f aca="false">Algae_yield_cost_factor/I132</f>
        <v>0.103045149380175</v>
      </c>
      <c r="BB132" s="197" t="n">
        <f aca="false">Algae_yield_cost_factor/J132</f>
        <v>0.103045149380175</v>
      </c>
      <c r="BC132" s="197" t="n">
        <f aca="false">Algae_yield_cost_factor/K132</f>
        <v>0.103045149380175</v>
      </c>
      <c r="BD132" s="197" t="n">
        <f aca="false">Algae_yield_cost_factor/L132</f>
        <v>0.103045149380175</v>
      </c>
      <c r="BE132" s="197" t="n">
        <f aca="false">Algae_yield_cost_factor/M132</f>
        <v>0.0983794195073372</v>
      </c>
      <c r="BF132" s="197" t="n">
        <f aca="false">Algae_yield_cost_factor/N132</f>
        <v>0.0957794914736254</v>
      </c>
      <c r="BG132" s="197" t="n">
        <f aca="false">Algae_yield_cost_factor/O132</f>
        <v>0.0920701218274146</v>
      </c>
      <c r="BH132" s="197" t="n">
        <f aca="false">Algae_yield_cost_factor/P132</f>
        <v>0.0871472640817675</v>
      </c>
      <c r="BI132" s="197" t="n">
        <f aca="false">Algae_yield_cost_factor/Q132</f>
        <v>0.0812055999156553</v>
      </c>
      <c r="BJ132" s="197" t="n">
        <f aca="false">Algae_yield_cost_factor/R132</f>
        <v>0.0748037075885955</v>
      </c>
      <c r="BK132" s="197" t="n">
        <f aca="false">Algae_yield_cost_factor/S132</f>
        <v>0.0686967662534499</v>
      </c>
      <c r="BL132" s="197" t="n">
        <f aca="false">Algae_yield_cost_factor/T132</f>
        <v>0.0635116994296818</v>
      </c>
      <c r="BM132" s="197" t="n">
        <f aca="false">Algae_yield_cost_factor/U132</f>
        <v>0.0595272457282912</v>
      </c>
      <c r="BN132" s="197" t="n">
        <f aca="false">Algae_yield_cost_factor/V132</f>
        <v>0.0566937700379527</v>
      </c>
      <c r="BO132" s="197" t="n">
        <f aca="false">Algae_yield_cost_factor/W132</f>
        <v>0.0547880207741298</v>
      </c>
      <c r="BP132" s="197" t="n">
        <f aca="false">Algae_yield_cost_factor/X132</f>
        <v>0.053553822441899</v>
      </c>
      <c r="BQ132" s="197" t="n">
        <f aca="false">Algae_yield_cost_factor/Y132</f>
        <v>0.0527740012349071</v>
      </c>
      <c r="BR132" s="197" t="n">
        <f aca="false">Algae_yield_cost_factor/Z132</f>
        <v>0.052288927240596</v>
      </c>
      <c r="BS132" s="197" t="n">
        <f aca="false">Algae_yield_cost_factor/AA132</f>
        <v>0.0519901273634448</v>
      </c>
      <c r="BT132" s="197" t="n">
        <f aca="false">Algae_yield_cost_factor/AB132</f>
        <v>0.0518071759249577</v>
      </c>
      <c r="BU132" s="197" t="n">
        <f aca="false">Algae_yield_cost_factor/AC132</f>
        <v>0.0516955700620229</v>
      </c>
    </row>
    <row r="133" customFormat="false" ht="15" hidden="false" customHeight="false" outlineLevel="0" collapsed="false">
      <c r="A133" s="18" t="s">
        <v>711</v>
      </c>
      <c r="B133" s="18" t="s">
        <v>22</v>
      </c>
      <c r="C133" s="18" t="s">
        <v>684</v>
      </c>
      <c r="D133" s="18" t="s">
        <v>684</v>
      </c>
      <c r="E133" s="28" t="n">
        <v>7.437605</v>
      </c>
      <c r="F133" s="185" t="n">
        <f aca="false">E133/$B$2*$F$3/1000</f>
        <v>0.01822213225</v>
      </c>
      <c r="G133" s="18" t="n">
        <f aca="false">LOOKUP(RIGHT(D133,5),Ref!$C$4:$C$21,Ref!$E$4:$E$21)*$G$3</f>
        <v>3.5</v>
      </c>
      <c r="H133" s="218" t="n">
        <f aca="false">$E133</f>
        <v>7.437605</v>
      </c>
      <c r="I133" s="177" t="n">
        <f aca="false">$E133</f>
        <v>7.437605</v>
      </c>
      <c r="J133" s="177" t="n">
        <f aca="false">$E133</f>
        <v>7.437605</v>
      </c>
      <c r="K133" s="177" t="n">
        <f aca="false">$E133</f>
        <v>7.437605</v>
      </c>
      <c r="L133" s="177" t="n">
        <f aca="false">$E133</f>
        <v>7.437605</v>
      </c>
      <c r="M133" s="177" t="n">
        <f aca="false">M$3*$E133</f>
        <v>7.79033991147484</v>
      </c>
      <c r="N133" s="177" t="n">
        <f aca="false">N$3*$E133</f>
        <v>8.0018081790169</v>
      </c>
      <c r="O133" s="177" t="n">
        <f aca="false">O$3*$E133</f>
        <v>8.32418924884631</v>
      </c>
      <c r="P133" s="177" t="n">
        <f aca="false">P$3*$E133</f>
        <v>8.79441398798977</v>
      </c>
      <c r="Q133" s="177" t="n">
        <f aca="false">Q$3*$E133</f>
        <v>9.43788506028858</v>
      </c>
      <c r="R133" s="177" t="n">
        <f aca="false">R$3*$E133</f>
        <v>10.2456033659564</v>
      </c>
      <c r="S133" s="177" t="n">
        <f aca="false">S$3*$E133</f>
        <v>11.1564075</v>
      </c>
      <c r="T133" s="177" t="n">
        <f aca="false">T$3*$E133</f>
        <v>12.0672116340436</v>
      </c>
      <c r="U133" s="177" t="n">
        <f aca="false">U$3*$E133</f>
        <v>12.8749299397114</v>
      </c>
      <c r="V133" s="177" t="n">
        <f aca="false">V$3*$E133</f>
        <v>13.5184010120102</v>
      </c>
      <c r="W133" s="177" t="n">
        <f aca="false">W$3*$E133</f>
        <v>13.9886257511537</v>
      </c>
      <c r="X133" s="177" t="n">
        <f aca="false">X$3*$E133</f>
        <v>14.3110068209831</v>
      </c>
      <c r="Y133" s="177" t="n">
        <f aca="false">Y$3*$E133</f>
        <v>14.5224750885252</v>
      </c>
      <c r="Z133" s="177" t="n">
        <f aca="false">Z$3*$E133</f>
        <v>14.6571972060026</v>
      </c>
      <c r="AA133" s="177" t="n">
        <f aca="false">AA$3*$E133</f>
        <v>14.7414356748549</v>
      </c>
      <c r="AB133" s="177" t="n">
        <f aca="false">AB$3*$E133</f>
        <v>14.793493460556</v>
      </c>
      <c r="AC133" s="177" t="n">
        <f aca="false">AC$3*$E133</f>
        <v>14.8254312185013</v>
      </c>
      <c r="AD133" s="219" t="n">
        <f aca="false">Algae_electricity_factor/H133</f>
        <v>0.00184785251482557</v>
      </c>
      <c r="AE133" s="220" t="n">
        <f aca="false">Algae_electricity_factor/I133</f>
        <v>0.00184785251482557</v>
      </c>
      <c r="AF133" s="220" t="n">
        <f aca="false">Algae_electricity_factor/J133</f>
        <v>0.00184785251482557</v>
      </c>
      <c r="AG133" s="220" t="n">
        <f aca="false">Algae_electricity_factor/K133</f>
        <v>0.00184785251482557</v>
      </c>
      <c r="AH133" s="220" t="n">
        <f aca="false">Algae_electricity_factor/L133</f>
        <v>0.00184785251482557</v>
      </c>
      <c r="AI133" s="220" t="n">
        <f aca="false">Algae_electricity_factor/M133</f>
        <v>0.00176418452335893</v>
      </c>
      <c r="AJ133" s="220" t="n">
        <f aca="false">Algae_electricity_factor/N133</f>
        <v>0.00171756143062377</v>
      </c>
      <c r="AK133" s="220" t="n">
        <f aca="false">Algae_electricity_factor/O133</f>
        <v>0.00165104332598325</v>
      </c>
      <c r="AL133" s="220" t="n">
        <f aca="false">Algae_electricity_factor/P133</f>
        <v>0.00156276440048176</v>
      </c>
      <c r="AM133" s="220" t="n">
        <f aca="false">Algae_electricity_factor/Q133</f>
        <v>0.00145621577458679</v>
      </c>
      <c r="AN133" s="220" t="n">
        <f aca="false">Algae_electricity_factor/R133</f>
        <v>0.00134141412785857</v>
      </c>
      <c r="AO133" s="220" t="n">
        <f aca="false">Algae_electricity_factor/S133</f>
        <v>0.00123190167655038</v>
      </c>
      <c r="AP133" s="220" t="n">
        <f aca="false">Algae_electricity_factor/T133</f>
        <v>0.00113892069852793</v>
      </c>
      <c r="AQ133" s="220" t="n">
        <f aca="false">Algae_electricity_factor/U133</f>
        <v>0.00106746966141839</v>
      </c>
      <c r="AR133" s="220" t="n">
        <f aca="false">Algae_electricity_factor/V133</f>
        <v>0.0010166584858164</v>
      </c>
      <c r="AS133" s="220" t="n">
        <f aca="false">Algae_electricity_factor/W133</f>
        <v>0.000982483722705626</v>
      </c>
      <c r="AT133" s="220" t="n">
        <f aca="false">Algae_electricity_factor/X133</f>
        <v>0.000960351516524897</v>
      </c>
      <c r="AU133" s="220" t="n">
        <f aca="false">Algae_electricity_factor/Y133</f>
        <v>0.000946367407742271</v>
      </c>
      <c r="AV133" s="220" t="n">
        <f aca="false">Algae_electricity_factor/Z133</f>
        <v>0.00093766884011773</v>
      </c>
      <c r="AW133" s="220" t="n">
        <f aca="false">Algae_electricity_factor/AA133</f>
        <v>0.000932310624735982</v>
      </c>
      <c r="AX133" s="220" t="n">
        <f aca="false">Algae_electricity_factor/AB133</f>
        <v>0.000929029856279311</v>
      </c>
      <c r="AY133" s="220" t="n">
        <f aca="false">Algae_electricity_factor/AC133</f>
        <v>0.00092702848915302</v>
      </c>
      <c r="AZ133" s="221" t="n">
        <f aca="false">Algae_yield_cost_factor/H133</f>
        <v>0.102296723109955</v>
      </c>
      <c r="BA133" s="197" t="n">
        <f aca="false">Algae_yield_cost_factor/I133</f>
        <v>0.102296723109955</v>
      </c>
      <c r="BB133" s="197" t="n">
        <f aca="false">Algae_yield_cost_factor/J133</f>
        <v>0.102296723109955</v>
      </c>
      <c r="BC133" s="197" t="n">
        <f aca="false">Algae_yield_cost_factor/K133</f>
        <v>0.102296723109955</v>
      </c>
      <c r="BD133" s="197" t="n">
        <f aca="false">Algae_yield_cost_factor/L133</f>
        <v>0.102296723109955</v>
      </c>
      <c r="BE133" s="197" t="n">
        <f aca="false">Algae_yield_cost_factor/M133</f>
        <v>0.0976648808565502</v>
      </c>
      <c r="BF133" s="197" t="n">
        <f aca="false">Algae_yield_cost_factor/N133</f>
        <v>0.0950838363360636</v>
      </c>
      <c r="BG133" s="197" t="n">
        <f aca="false">Algae_yield_cost_factor/O133</f>
        <v>0.0914014081781798</v>
      </c>
      <c r="BH133" s="197" t="n">
        <f aca="false">Algae_yield_cost_factor/P133</f>
        <v>0.0865143055950373</v>
      </c>
      <c r="BI133" s="197" t="n">
        <f aca="false">Algae_yield_cost_factor/Q133</f>
        <v>0.0806157962749075</v>
      </c>
      <c r="BJ133" s="197" t="n">
        <f aca="false">Algae_yield_cost_factor/R133</f>
        <v>0.0742604014727241</v>
      </c>
      <c r="BK133" s="197" t="n">
        <f aca="false">Algae_yield_cost_factor/S133</f>
        <v>0.0681978154066367</v>
      </c>
      <c r="BL133" s="197" t="n">
        <f aca="false">Algae_yield_cost_factor/T133</f>
        <v>0.0630504081937004</v>
      </c>
      <c r="BM133" s="197" t="n">
        <f aca="false">Algae_yield_cost_factor/U133</f>
        <v>0.0590948939410906</v>
      </c>
      <c r="BN133" s="197" t="n">
        <f aca="false">Algae_yield_cost_factor/V133</f>
        <v>0.0562819980417993</v>
      </c>
      <c r="BO133" s="197" t="n">
        <f aca="false">Algae_yield_cost_factor/W133</f>
        <v>0.0543900904078064</v>
      </c>
      <c r="BP133" s="197" t="n">
        <f aca="false">Algae_yield_cost_factor/X133</f>
        <v>0.0531648561700533</v>
      </c>
      <c r="BQ133" s="197" t="n">
        <f aca="false">Algae_yield_cost_factor/Y133</f>
        <v>0.0523906988752484</v>
      </c>
      <c r="BR133" s="197" t="n">
        <f aca="false">Algae_yield_cost_factor/Z133</f>
        <v>0.0519091480173733</v>
      </c>
      <c r="BS133" s="197" t="n">
        <f aca="false">Algae_yield_cost_factor/AA133</f>
        <v>0.0516125183508429</v>
      </c>
      <c r="BT133" s="197" t="n">
        <f aca="false">Algae_yield_cost_factor/AB133</f>
        <v>0.0514308957052544</v>
      </c>
      <c r="BU133" s="197" t="n">
        <f aca="false">Algae_yield_cost_factor/AC133</f>
        <v>0.0513201004458292</v>
      </c>
    </row>
    <row r="134" customFormat="false" ht="15" hidden="false" customHeight="false" outlineLevel="0" collapsed="false">
      <c r="A134" s="18" t="s">
        <v>711</v>
      </c>
      <c r="B134" s="18" t="s">
        <v>22</v>
      </c>
      <c r="C134" s="18" t="s">
        <v>685</v>
      </c>
      <c r="D134" s="18" t="s">
        <v>685</v>
      </c>
      <c r="E134" s="28" t="n">
        <v>7.64967</v>
      </c>
      <c r="F134" s="185" t="n">
        <f aca="false">E134/$B$2*$F$3/1000</f>
        <v>0.0187416915</v>
      </c>
      <c r="G134" s="18" t="n">
        <f aca="false">LOOKUP(RIGHT(D134,5),Ref!$C$4:$C$21,Ref!$E$4:$E$21)*$G$3</f>
        <v>4</v>
      </c>
      <c r="H134" s="218" t="n">
        <f aca="false">$E134</f>
        <v>7.64967</v>
      </c>
      <c r="I134" s="177" t="n">
        <f aca="false">$E134</f>
        <v>7.64967</v>
      </c>
      <c r="J134" s="177" t="n">
        <f aca="false">$E134</f>
        <v>7.64967</v>
      </c>
      <c r="K134" s="177" t="n">
        <f aca="false">$E134</f>
        <v>7.64967</v>
      </c>
      <c r="L134" s="177" t="n">
        <f aca="false">$E134</f>
        <v>7.64967</v>
      </c>
      <c r="M134" s="177" t="n">
        <f aca="false">M$3*$E134</f>
        <v>8.01246227927024</v>
      </c>
      <c r="N134" s="177" t="n">
        <f aca="false">N$3*$E134</f>
        <v>8.22996004396311</v>
      </c>
      <c r="O134" s="177" t="n">
        <f aca="false">O$3*$E134</f>
        <v>8.56153301650493</v>
      </c>
      <c r="P134" s="177" t="n">
        <f aca="false">P$3*$E134</f>
        <v>9.04516505669577</v>
      </c>
      <c r="Q134" s="177" t="n">
        <f aca="false">Q$3*$E134</f>
        <v>9.70698312281141</v>
      </c>
      <c r="R134" s="177" t="n">
        <f aca="false">R$3*$E134</f>
        <v>10.5377315278851</v>
      </c>
      <c r="S134" s="177" t="n">
        <f aca="false">S$3*$E134</f>
        <v>11.474505</v>
      </c>
      <c r="T134" s="177" t="n">
        <f aca="false">T$3*$E134</f>
        <v>12.4112784721149</v>
      </c>
      <c r="U134" s="177" t="n">
        <f aca="false">U$3*$E134</f>
        <v>13.2420268771886</v>
      </c>
      <c r="V134" s="177" t="n">
        <f aca="false">V$3*$E134</f>
        <v>13.9038449433042</v>
      </c>
      <c r="W134" s="177" t="n">
        <f aca="false">W$3*$E134</f>
        <v>14.3874769834951</v>
      </c>
      <c r="X134" s="177" t="n">
        <f aca="false">X$3*$E134</f>
        <v>14.7190499560369</v>
      </c>
      <c r="Y134" s="177" t="n">
        <f aca="false">Y$3*$E134</f>
        <v>14.9365477207298</v>
      </c>
      <c r="Z134" s="177" t="n">
        <f aca="false">Z$3*$E134</f>
        <v>15.0751111077883</v>
      </c>
      <c r="AA134" s="177" t="n">
        <f aca="false">AA$3*$E134</f>
        <v>15.1617514292393</v>
      </c>
      <c r="AB134" s="177" t="n">
        <f aca="false">AB$3*$E134</f>
        <v>15.215293514567</v>
      </c>
      <c r="AC134" s="177" t="n">
        <f aca="false">AC$3*$E134</f>
        <v>15.24814189907</v>
      </c>
      <c r="AD134" s="219" t="n">
        <f aca="false">Algae_electricity_factor/H134</f>
        <v>0.00179662614250409</v>
      </c>
      <c r="AE134" s="220" t="n">
        <f aca="false">Algae_electricity_factor/I134</f>
        <v>0.00179662614250409</v>
      </c>
      <c r="AF134" s="220" t="n">
        <f aca="false">Algae_electricity_factor/J134</f>
        <v>0.00179662614250409</v>
      </c>
      <c r="AG134" s="220" t="n">
        <f aca="false">Algae_electricity_factor/K134</f>
        <v>0.00179662614250409</v>
      </c>
      <c r="AH134" s="220" t="n">
        <f aca="false">Algae_electricity_factor/L134</f>
        <v>0.00179662614250409</v>
      </c>
      <c r="AI134" s="220" t="n">
        <f aca="false">Algae_electricity_factor/M134</f>
        <v>0.00171527760437469</v>
      </c>
      <c r="AJ134" s="220" t="n">
        <f aca="false">Algae_electricity_factor/N134</f>
        <v>0.00166994700218631</v>
      </c>
      <c r="AK134" s="220" t="n">
        <f aca="false">Algae_electricity_factor/O134</f>
        <v>0.00160527291981872</v>
      </c>
      <c r="AL134" s="220" t="n">
        <f aca="false">Algae_electricity_factor/P134</f>
        <v>0.00151944127247909</v>
      </c>
      <c r="AM134" s="220" t="n">
        <f aca="false">Algae_electricity_factor/Q134</f>
        <v>0.0014158463994062</v>
      </c>
      <c r="AN134" s="220" t="n">
        <f aca="false">Algae_electricity_factor/R134</f>
        <v>0.00130422729665875</v>
      </c>
      <c r="AO134" s="220" t="n">
        <f aca="false">Algae_electricity_factor/S134</f>
        <v>0.00119775076166939</v>
      </c>
      <c r="AP134" s="220" t="n">
        <f aca="false">Algae_electricity_factor/T134</f>
        <v>0.00110734741263019</v>
      </c>
      <c r="AQ134" s="220" t="n">
        <f aca="false">Algae_electricity_factor/U134</f>
        <v>0.0010378771490945</v>
      </c>
      <c r="AR134" s="220" t="n">
        <f aca="false">Algae_electricity_factor/V134</f>
        <v>0.000988474566536925</v>
      </c>
      <c r="AS134" s="220" t="n">
        <f aca="false">Algae_electricity_factor/W134</f>
        <v>0.00095524719999869</v>
      </c>
      <c r="AT134" s="220" t="n">
        <f aca="false">Algae_electricity_factor/X134</f>
        <v>0.000933728545291908</v>
      </c>
      <c r="AU134" s="220" t="n">
        <f aca="false">Algae_electricity_factor/Y134</f>
        <v>0.00092013210552363</v>
      </c>
      <c r="AV134" s="220" t="n">
        <f aca="false">Algae_electricity_factor/Z134</f>
        <v>0.000911674680555348</v>
      </c>
      <c r="AW134" s="220" t="n">
        <f aca="false">Algae_electricity_factor/AA134</f>
        <v>0.000906465006214577</v>
      </c>
      <c r="AX134" s="220" t="n">
        <f aca="false">Algae_electricity_factor/AB134</f>
        <v>0.000903275187584861</v>
      </c>
      <c r="AY134" s="220" t="n">
        <f aca="false">Algae_electricity_factor/AC134</f>
        <v>0.000901329302579973</v>
      </c>
      <c r="AZ134" s="221" t="n">
        <f aca="false">Algae_yield_cost_factor/H134</f>
        <v>0.0994608420083765</v>
      </c>
      <c r="BA134" s="197" t="n">
        <f aca="false">Algae_yield_cost_factor/I134</f>
        <v>0.0994608420083765</v>
      </c>
      <c r="BB134" s="197" t="n">
        <f aca="false">Algae_yield_cost_factor/J134</f>
        <v>0.0994608420083765</v>
      </c>
      <c r="BC134" s="197" t="n">
        <f aca="false">Algae_yield_cost_factor/K134</f>
        <v>0.0994608420083765</v>
      </c>
      <c r="BD134" s="197" t="n">
        <f aca="false">Algae_yield_cost_factor/L134</f>
        <v>0.0994608420083765</v>
      </c>
      <c r="BE134" s="197" t="n">
        <f aca="false">Algae_yield_cost_factor/M134</f>
        <v>0.0949574041995383</v>
      </c>
      <c r="BF134" s="197" t="n">
        <f aca="false">Algae_yield_cost_factor/N134</f>
        <v>0.0924479116814566</v>
      </c>
      <c r="BG134" s="197" t="n">
        <f aca="false">Algae_yield_cost_factor/O134</f>
        <v>0.0888675682053044</v>
      </c>
      <c r="BH134" s="197" t="n">
        <f aca="false">Algae_yield_cost_factor/P134</f>
        <v>0.0841159464218949</v>
      </c>
      <c r="BI134" s="197" t="n">
        <f aca="false">Algae_yield_cost_factor/Q134</f>
        <v>0.0783809562312144</v>
      </c>
      <c r="BJ134" s="197" t="n">
        <f aca="false">Algae_yield_cost_factor/R134</f>
        <v>0.0722017463884769</v>
      </c>
      <c r="BK134" s="197" t="n">
        <f aca="false">Algae_yield_cost_factor/S134</f>
        <v>0.0663072280055844</v>
      </c>
      <c r="BL134" s="197" t="n">
        <f aca="false">Algae_yield_cost_factor/T134</f>
        <v>0.061302517786193</v>
      </c>
      <c r="BM134" s="197" t="n">
        <f aca="false">Algae_yield_cost_factor/U134</f>
        <v>0.0574566587383148</v>
      </c>
      <c r="BN134" s="197" t="n">
        <f aca="false">Algae_yield_cost_factor/V134</f>
        <v>0.0547217422510614</v>
      </c>
      <c r="BO134" s="197" t="n">
        <f aca="false">Algae_yield_cost_factor/W134</f>
        <v>0.0528822822902887</v>
      </c>
      <c r="BP134" s="197" t="n">
        <f aca="false">Algae_yield_cost_factor/X134</f>
        <v>0.0516910141319389</v>
      </c>
      <c r="BQ134" s="197" t="n">
        <f aca="false">Algae_yield_cost_factor/Y134</f>
        <v>0.0509383181115057</v>
      </c>
      <c r="BR134" s="197" t="n">
        <f aca="false">Algae_yield_cost_factor/Z134</f>
        <v>0.0504701168599111</v>
      </c>
      <c r="BS134" s="197" t="n">
        <f aca="false">Algae_yield_cost_factor/AA134</f>
        <v>0.0501817103938889</v>
      </c>
      <c r="BT134" s="197" t="n">
        <f aca="false">Algae_yield_cost_factor/AB134</f>
        <v>0.0500051227114213</v>
      </c>
      <c r="BU134" s="197" t="n">
        <f aca="false">Algae_yield_cost_factor/AC134</f>
        <v>0.0498973989304638</v>
      </c>
    </row>
    <row r="135" customFormat="false" ht="15" hidden="false" customHeight="false" outlineLevel="0" collapsed="false">
      <c r="A135" s="18" t="s">
        <v>711</v>
      </c>
      <c r="B135" s="18" t="s">
        <v>22</v>
      </c>
      <c r="C135" s="18" t="s">
        <v>686</v>
      </c>
      <c r="D135" s="18" t="s">
        <v>686</v>
      </c>
      <c r="E135" s="28" t="n">
        <v>7.682155</v>
      </c>
      <c r="F135" s="185" t="n">
        <f aca="false">E135/$B$2*$F$3/1000</f>
        <v>0.01882127975</v>
      </c>
      <c r="G135" s="18" t="n">
        <f aca="false">LOOKUP(RIGHT(D135,5),Ref!$C$4:$C$21,Ref!$E$4:$E$21)*$G$3</f>
        <v>4.5</v>
      </c>
      <c r="H135" s="218" t="n">
        <f aca="false">$E135</f>
        <v>7.682155</v>
      </c>
      <c r="I135" s="177" t="n">
        <f aca="false">$E135</f>
        <v>7.682155</v>
      </c>
      <c r="J135" s="177" t="n">
        <f aca="false">$E135</f>
        <v>7.682155</v>
      </c>
      <c r="K135" s="177" t="n">
        <f aca="false">$E135</f>
        <v>7.682155</v>
      </c>
      <c r="L135" s="177" t="n">
        <f aca="false">$E135</f>
        <v>7.682155</v>
      </c>
      <c r="M135" s="177" t="n">
        <f aca="false">M$3*$E135</f>
        <v>8.04648790876041</v>
      </c>
      <c r="N135" s="177" t="n">
        <f aca="false">N$3*$E135</f>
        <v>8.2649092969411</v>
      </c>
      <c r="O135" s="177" t="n">
        <f aca="false">O$3*$E135</f>
        <v>8.59789032342682</v>
      </c>
      <c r="P135" s="177" t="n">
        <f aca="false">P$3*$E135</f>
        <v>9.08357614983662</v>
      </c>
      <c r="Q135" s="177" t="n">
        <f aca="false">Q$3*$E135</f>
        <v>9.74820468488462</v>
      </c>
      <c r="R135" s="177" t="n">
        <f aca="false">R$3*$E135</f>
        <v>10.582480936511</v>
      </c>
      <c r="S135" s="177" t="n">
        <f aca="false">S$3*$E135</f>
        <v>11.5232325</v>
      </c>
      <c r="T135" s="177" t="n">
        <f aca="false">T$3*$E135</f>
        <v>12.463984063489</v>
      </c>
      <c r="U135" s="177" t="n">
        <f aca="false">U$3*$E135</f>
        <v>13.2982603151154</v>
      </c>
      <c r="V135" s="177" t="n">
        <f aca="false">V$3*$E135</f>
        <v>13.9628888501634</v>
      </c>
      <c r="W135" s="177" t="n">
        <f aca="false">W$3*$E135</f>
        <v>14.4485746765732</v>
      </c>
      <c r="X135" s="177" t="n">
        <f aca="false">X$3*$E135</f>
        <v>14.7815557030589</v>
      </c>
      <c r="Y135" s="177" t="n">
        <f aca="false">Y$3*$E135</f>
        <v>14.9999770912396</v>
      </c>
      <c r="Z135" s="177" t="n">
        <f aca="false">Z$3*$E135</f>
        <v>15.1391288999723</v>
      </c>
      <c r="AA135" s="177" t="n">
        <f aca="false">AA$3*$E135</f>
        <v>15.2261371472087</v>
      </c>
      <c r="AB135" s="177" t="n">
        <f aca="false">AB$3*$E135</f>
        <v>15.2799066037357</v>
      </c>
      <c r="AC135" s="177" t="n">
        <f aca="false">AC$3*$E135</f>
        <v>15.3128944818078</v>
      </c>
      <c r="AD135" s="219" t="n">
        <f aca="false">Algae_electricity_factor/H135</f>
        <v>0.00178902887321712</v>
      </c>
      <c r="AE135" s="220" t="n">
        <f aca="false">Algae_electricity_factor/I135</f>
        <v>0.00178902887321712</v>
      </c>
      <c r="AF135" s="220" t="n">
        <f aca="false">Algae_electricity_factor/J135</f>
        <v>0.00178902887321712</v>
      </c>
      <c r="AG135" s="220" t="n">
        <f aca="false">Algae_electricity_factor/K135</f>
        <v>0.00178902887321712</v>
      </c>
      <c r="AH135" s="220" t="n">
        <f aca="false">Algae_electricity_factor/L135</f>
        <v>0.00178902887321712</v>
      </c>
      <c r="AI135" s="220" t="n">
        <f aca="false">Algae_electricity_factor/M135</f>
        <v>0.00170802432805078</v>
      </c>
      <c r="AJ135" s="220" t="n">
        <f aca="false">Algae_electricity_factor/N135</f>
        <v>0.00166288541225926</v>
      </c>
      <c r="AK135" s="220" t="n">
        <f aca="false">Algae_electricity_factor/O135</f>
        <v>0.00159848481273154</v>
      </c>
      <c r="AL135" s="220" t="n">
        <f aca="false">Algae_electricity_factor/P135</f>
        <v>0.00151301611577027</v>
      </c>
      <c r="AM135" s="220" t="n">
        <f aca="false">Algae_electricity_factor/Q135</f>
        <v>0.00140985930720554</v>
      </c>
      <c r="AN135" s="220" t="n">
        <f aca="false">Algae_electricity_factor/R135</f>
        <v>0.00129871220047389</v>
      </c>
      <c r="AO135" s="220" t="n">
        <f aca="false">Algae_electricity_factor/S135</f>
        <v>0.00119268591547808</v>
      </c>
      <c r="AP135" s="220" t="n">
        <f aca="false">Algae_electricity_factor/T135</f>
        <v>0.00110266484885749</v>
      </c>
      <c r="AQ135" s="220" t="n">
        <f aca="false">Algae_electricity_factor/U135</f>
        <v>0.0010334883494428</v>
      </c>
      <c r="AR135" s="220" t="n">
        <f aca="false">Algae_electricity_factor/V135</f>
        <v>0.00098429467218515</v>
      </c>
      <c r="AS135" s="220" t="n">
        <f aca="false">Algae_electricity_factor/W135</f>
        <v>0.000951207811924386</v>
      </c>
      <c r="AT135" s="220" t="n">
        <f aca="false">Algae_electricity_factor/X135</f>
        <v>0.000929780151671393</v>
      </c>
      <c r="AU135" s="220" t="n">
        <f aca="false">Algae_electricity_factor/Y135</f>
        <v>0.000916241206231969</v>
      </c>
      <c r="AV135" s="220" t="n">
        <f aca="false">Algae_electricity_factor/Z135</f>
        <v>0.000907819544594431</v>
      </c>
      <c r="AW135" s="220" t="n">
        <f aca="false">Algae_electricity_factor/AA135</f>
        <v>0.000902631900044904</v>
      </c>
      <c r="AX135" s="220" t="n">
        <f aca="false">Algae_electricity_factor/AB135</f>
        <v>0.000899455569981638</v>
      </c>
      <c r="AY135" s="220" t="n">
        <f aca="false">Algae_electricity_factor/AC135</f>
        <v>0.000897517913406713</v>
      </c>
      <c r="AZ135" s="221" t="n">
        <f aca="false">Algae_yield_cost_factor/H135</f>
        <v>0.099040258792776</v>
      </c>
      <c r="BA135" s="197" t="n">
        <f aca="false">Algae_yield_cost_factor/I135</f>
        <v>0.099040258792776</v>
      </c>
      <c r="BB135" s="197" t="n">
        <f aca="false">Algae_yield_cost_factor/J135</f>
        <v>0.099040258792776</v>
      </c>
      <c r="BC135" s="197" t="n">
        <f aca="false">Algae_yield_cost_factor/K135</f>
        <v>0.099040258792776</v>
      </c>
      <c r="BD135" s="197" t="n">
        <f aca="false">Algae_yield_cost_factor/L135</f>
        <v>0.099040258792776</v>
      </c>
      <c r="BE135" s="197" t="n">
        <f aca="false">Algae_yield_cost_factor/M135</f>
        <v>0.094555864361378</v>
      </c>
      <c r="BF135" s="197" t="n">
        <f aca="false">Algae_yield_cost_factor/N135</f>
        <v>0.0920569835615512</v>
      </c>
      <c r="BG135" s="197" t="n">
        <f aca="false">Algae_yield_cost_factor/O135</f>
        <v>0.0884917800373816</v>
      </c>
      <c r="BH135" s="197" t="n">
        <f aca="false">Algae_yield_cost_factor/P135</f>
        <v>0.0837602511099004</v>
      </c>
      <c r="BI135" s="197" t="n">
        <f aca="false">Algae_yield_cost_factor/Q135</f>
        <v>0.0780495120774358</v>
      </c>
      <c r="BJ135" s="197" t="n">
        <f aca="false">Algae_yield_cost_factor/R135</f>
        <v>0.0718964318339763</v>
      </c>
      <c r="BK135" s="197" t="n">
        <f aca="false">Algae_yield_cost_factor/S135</f>
        <v>0.066026839195184</v>
      </c>
      <c r="BL135" s="197" t="n">
        <f aca="false">Algae_yield_cost_factor/T135</f>
        <v>0.0610432920493673</v>
      </c>
      <c r="BM135" s="197" t="n">
        <f aca="false">Algae_yield_cost_factor/U135</f>
        <v>0.0572136957208915</v>
      </c>
      <c r="BN135" s="197" t="n">
        <f aca="false">Algae_yield_cost_factor/V135</f>
        <v>0.0544903441867128</v>
      </c>
      <c r="BO135" s="197" t="n">
        <f aca="false">Algae_yield_cost_factor/W135</f>
        <v>0.0526586626236457</v>
      </c>
      <c r="BP135" s="197" t="n">
        <f aca="false">Algae_yield_cost_factor/X135</f>
        <v>0.0514724318989488</v>
      </c>
      <c r="BQ135" s="197" t="n">
        <f aca="false">Algae_yield_cost_factor/Y135</f>
        <v>0.0507229187523607</v>
      </c>
      <c r="BR135" s="197" t="n">
        <f aca="false">Algae_yield_cost_factor/Z135</f>
        <v>0.0502566973511672</v>
      </c>
      <c r="BS135" s="197" t="n">
        <f aca="false">Algae_yield_cost_factor/AA135</f>
        <v>0.0499695104497137</v>
      </c>
      <c r="BT135" s="197" t="n">
        <f aca="false">Algae_yield_cost_factor/AB135</f>
        <v>0.0497936694914225</v>
      </c>
      <c r="BU135" s="197" t="n">
        <f aca="false">Algae_yield_cost_factor/AC135</f>
        <v>0.0496864012346017</v>
      </c>
    </row>
    <row r="136" customFormat="false" ht="15" hidden="false" customHeight="false" outlineLevel="0" collapsed="false">
      <c r="A136" s="18" t="s">
        <v>711</v>
      </c>
      <c r="B136" s="18" t="s">
        <v>22</v>
      </c>
      <c r="C136" s="18" t="s">
        <v>687</v>
      </c>
      <c r="D136" s="18" t="s">
        <v>687</v>
      </c>
      <c r="E136" s="28" t="n">
        <v>7.2560175</v>
      </c>
      <c r="F136" s="185" t="n">
        <f aca="false">E136/$B$2*$F$3/1000</f>
        <v>0.017777242875</v>
      </c>
      <c r="G136" s="18" t="n">
        <f aca="false">LOOKUP(RIGHT(D136,5),Ref!$C$4:$C$21,Ref!$E$4:$E$21)*$G$3</f>
        <v>4.5</v>
      </c>
      <c r="H136" s="218" t="n">
        <f aca="false">$E136</f>
        <v>7.2560175</v>
      </c>
      <c r="I136" s="177" t="n">
        <f aca="false">$E136</f>
        <v>7.2560175</v>
      </c>
      <c r="J136" s="177" t="n">
        <f aca="false">$E136</f>
        <v>7.2560175</v>
      </c>
      <c r="K136" s="177" t="n">
        <f aca="false">$E136</f>
        <v>7.2560175</v>
      </c>
      <c r="L136" s="177" t="n">
        <f aca="false">$E136</f>
        <v>7.2560175</v>
      </c>
      <c r="M136" s="177" t="n">
        <f aca="false">M$3*$E136</f>
        <v>7.6001404657292</v>
      </c>
      <c r="N136" s="177" t="n">
        <f aca="false">N$3*$E136</f>
        <v>7.80644578175229</v>
      </c>
      <c r="O136" s="177" t="n">
        <f aca="false">O$3*$E136</f>
        <v>8.12095598824362</v>
      </c>
      <c r="P136" s="177" t="n">
        <f aca="false">P$3*$E136</f>
        <v>8.57970029318559</v>
      </c>
      <c r="Q136" s="177" t="n">
        <f aca="false">Q$3*$E136</f>
        <v>9.20746115993556</v>
      </c>
      <c r="R136" s="177" t="n">
        <f aca="false">R$3*$E136</f>
        <v>9.99545919976105</v>
      </c>
      <c r="S136" s="177" t="n">
        <f aca="false">S$3*$E136</f>
        <v>10.88402625</v>
      </c>
      <c r="T136" s="177" t="n">
        <f aca="false">T$3*$E136</f>
        <v>11.772593300239</v>
      </c>
      <c r="U136" s="177" t="n">
        <f aca="false">U$3*$E136</f>
        <v>12.5605913400644</v>
      </c>
      <c r="V136" s="177" t="n">
        <f aca="false">V$3*$E136</f>
        <v>13.1883522068144</v>
      </c>
      <c r="W136" s="177" t="n">
        <f aca="false">W$3*$E136</f>
        <v>13.6470965117564</v>
      </c>
      <c r="X136" s="177" t="n">
        <f aca="false">X$3*$E136</f>
        <v>13.9616067182477</v>
      </c>
      <c r="Y136" s="177" t="n">
        <f aca="false">Y$3*$E136</f>
        <v>14.1679120342708</v>
      </c>
      <c r="Z136" s="177" t="n">
        <f aca="false">Z$3*$E136</f>
        <v>14.2993449407041</v>
      </c>
      <c r="AA136" s="177" t="n">
        <f aca="false">AA$3*$E136</f>
        <v>14.3815267457564</v>
      </c>
      <c r="AB136" s="177" t="n">
        <f aca="false">AB$3*$E136</f>
        <v>14.4323135520009</v>
      </c>
      <c r="AC136" s="177" t="n">
        <f aca="false">AC$3*$E136</f>
        <v>14.4634715565685</v>
      </c>
      <c r="AD136" s="219" t="n">
        <f aca="false">Algae_electricity_factor/H136</f>
        <v>0.00189409646593731</v>
      </c>
      <c r="AE136" s="220" t="n">
        <f aca="false">Algae_electricity_factor/I136</f>
        <v>0.00189409646593731</v>
      </c>
      <c r="AF136" s="220" t="n">
        <f aca="false">Algae_electricity_factor/J136</f>
        <v>0.00189409646593731</v>
      </c>
      <c r="AG136" s="220" t="n">
        <f aca="false">Algae_electricity_factor/K136</f>
        <v>0.00189409646593731</v>
      </c>
      <c r="AH136" s="220" t="n">
        <f aca="false">Algae_electricity_factor/L136</f>
        <v>0.00189409646593731</v>
      </c>
      <c r="AI136" s="220" t="n">
        <f aca="false">Algae_electricity_factor/M136</f>
        <v>0.00180833461769586</v>
      </c>
      <c r="AJ136" s="220" t="n">
        <f aca="false">Algae_electricity_factor/N136</f>
        <v>0.00176054474568377</v>
      </c>
      <c r="AK136" s="220" t="n">
        <f aca="false">Algae_electricity_factor/O136</f>
        <v>0.00169236197356879</v>
      </c>
      <c r="AL136" s="220" t="n">
        <f aca="false">Algae_electricity_factor/P136</f>
        <v>0.00160187379907024</v>
      </c>
      <c r="AM136" s="220" t="n">
        <f aca="false">Algae_electricity_factor/Q136</f>
        <v>0.00149265871066954</v>
      </c>
      <c r="AN136" s="220" t="n">
        <f aca="false">Algae_electricity_factor/R136</f>
        <v>0.00137498406314918</v>
      </c>
      <c r="AO136" s="220" t="n">
        <f aca="false">Algae_electricity_factor/S136</f>
        <v>0.00126273097729154</v>
      </c>
      <c r="AP136" s="220" t="n">
        <f aca="false">Algae_electricity_factor/T136</f>
        <v>0.00116742307773856</v>
      </c>
      <c r="AQ136" s="220" t="n">
        <f aca="false">Algae_electricity_factor/U136</f>
        <v>0.00109418392267022</v>
      </c>
      <c r="AR136" s="220" t="n">
        <f aca="false">Algae_electricity_factor/V136</f>
        <v>0.00104210115774948</v>
      </c>
      <c r="AS136" s="220" t="n">
        <f aca="false">Algae_electricity_factor/W136</f>
        <v>0.00100707114452439</v>
      </c>
      <c r="AT136" s="220" t="n">
        <f aca="false">Algae_electricity_factor/X136</f>
        <v>0.000984385062613638</v>
      </c>
      <c r="AU136" s="220" t="n">
        <f aca="false">Algae_electricity_factor/Y136</f>
        <v>0.000970050990596557</v>
      </c>
      <c r="AV136" s="220" t="n">
        <f aca="false">Algae_electricity_factor/Z136</f>
        <v>0.00096113473452949</v>
      </c>
      <c r="AW136" s="220" t="n">
        <f aca="false">Algae_electricity_factor/AA136</f>
        <v>0.000955642425626656</v>
      </c>
      <c r="AX136" s="220" t="n">
        <f aca="false">Algae_electricity_factor/AB136</f>
        <v>0.000952279553379286</v>
      </c>
      <c r="AY136" s="220" t="n">
        <f aca="false">Algae_electricity_factor/AC136</f>
        <v>0.00095022810047894</v>
      </c>
      <c r="AZ136" s="221" t="n">
        <f aca="false">Algae_yield_cost_factor/H136</f>
        <v>0.104856778430622</v>
      </c>
      <c r="BA136" s="197" t="n">
        <f aca="false">Algae_yield_cost_factor/I136</f>
        <v>0.104856778430622</v>
      </c>
      <c r="BB136" s="197" t="n">
        <f aca="false">Algae_yield_cost_factor/J136</f>
        <v>0.104856778430622</v>
      </c>
      <c r="BC136" s="197" t="n">
        <f aca="false">Algae_yield_cost_factor/K136</f>
        <v>0.104856778430622</v>
      </c>
      <c r="BD136" s="197" t="n">
        <f aca="false">Algae_yield_cost_factor/L136</f>
        <v>0.104856778430622</v>
      </c>
      <c r="BE136" s="197" t="n">
        <f aca="false">Algae_yield_cost_factor/M136</f>
        <v>0.100109020710477</v>
      </c>
      <c r="BF136" s="197" t="n">
        <f aca="false">Algae_yield_cost_factor/N136</f>
        <v>0.0974633835368076</v>
      </c>
      <c r="BG136" s="197" t="n">
        <f aca="false">Algae_yield_cost_factor/O136</f>
        <v>0.0936887997407767</v>
      </c>
      <c r="BH136" s="197" t="n">
        <f aca="false">Algae_yield_cost_factor/P136</f>
        <v>0.0886793936019555</v>
      </c>
      <c r="BI136" s="197" t="n">
        <f aca="false">Algae_yield_cost_factor/Q136</f>
        <v>0.0826332694833266</v>
      </c>
      <c r="BJ136" s="197" t="n">
        <f aca="false">Algae_yield_cost_factor/R136</f>
        <v>0.0761188259669357</v>
      </c>
      <c r="BK136" s="197" t="n">
        <f aca="false">Algae_yield_cost_factor/S136</f>
        <v>0.0699045189537482</v>
      </c>
      <c r="BL136" s="197" t="n">
        <f aca="false">Algae_yield_cost_factor/T136</f>
        <v>0.0646282938586501</v>
      </c>
      <c r="BM136" s="197" t="n">
        <f aca="false">Algae_yield_cost_factor/U136</f>
        <v>0.0605737897752762</v>
      </c>
      <c r="BN136" s="197" t="n">
        <f aca="false">Algae_yield_cost_factor/V136</f>
        <v>0.0576904989611281</v>
      </c>
      <c r="BO136" s="197" t="n">
        <f aca="false">Algae_yield_cost_factor/W136</f>
        <v>0.0557512448622888</v>
      </c>
      <c r="BP136" s="197" t="n">
        <f aca="false">Algae_yield_cost_factor/X136</f>
        <v>0.0544953481816532</v>
      </c>
      <c r="BQ136" s="197" t="n">
        <f aca="false">Algae_yield_cost_factor/Y136</f>
        <v>0.0537018169964504</v>
      </c>
      <c r="BR136" s="197" t="n">
        <f aca="false">Algae_yield_cost_factor/Z136</f>
        <v>0.0532082149525902</v>
      </c>
      <c r="BS136" s="197" t="n">
        <f aca="false">Algae_yield_cost_factor/AA136</f>
        <v>0.0529041618971868</v>
      </c>
      <c r="BT136" s="197" t="n">
        <f aca="false">Algae_yield_cost_factor/AB136</f>
        <v>0.0527179940031675</v>
      </c>
      <c r="BU136" s="197" t="n">
        <f aca="false">Algae_yield_cost_factor/AC136</f>
        <v>0.0526044260059187</v>
      </c>
    </row>
    <row r="137" customFormat="false" ht="15" hidden="false" customHeight="false" outlineLevel="0" collapsed="false">
      <c r="A137" s="18" t="s">
        <v>712</v>
      </c>
      <c r="B137" s="18" t="s">
        <v>22</v>
      </c>
      <c r="C137" s="18" t="s">
        <v>690</v>
      </c>
      <c r="D137" s="18" t="s">
        <v>690</v>
      </c>
      <c r="E137" s="28" t="n">
        <v>7.577327</v>
      </c>
      <c r="F137" s="185" t="n">
        <f aca="false">E137/$B$2*$F$3/1000</f>
        <v>0.01856445115</v>
      </c>
      <c r="G137" s="18" t="n">
        <f aca="false">LOOKUP(RIGHT(D137,5),Ref!$C$4:$C$21,Ref!$E$4:$E$21)*$G$3</f>
        <v>1.5</v>
      </c>
      <c r="H137" s="218" t="n">
        <f aca="false">$E137</f>
        <v>7.577327</v>
      </c>
      <c r="I137" s="177" t="n">
        <f aca="false">$E137</f>
        <v>7.577327</v>
      </c>
      <c r="J137" s="177" t="n">
        <f aca="false">$E137</f>
        <v>7.577327</v>
      </c>
      <c r="K137" s="177" t="n">
        <f aca="false">$E137</f>
        <v>7.577327</v>
      </c>
      <c r="L137" s="177" t="n">
        <f aca="false">$E137</f>
        <v>7.577327</v>
      </c>
      <c r="M137" s="177" t="n">
        <f aca="false">M$3*$E137</f>
        <v>7.93668834932695</v>
      </c>
      <c r="N137" s="177" t="n">
        <f aca="false">N$3*$E137</f>
        <v>8.15212923564583</v>
      </c>
      <c r="O137" s="177" t="n">
        <f aca="false">O$3*$E137</f>
        <v>8.48056651951709</v>
      </c>
      <c r="P137" s="177" t="n">
        <f aca="false">P$3*$E137</f>
        <v>8.95962484702705</v>
      </c>
      <c r="Q137" s="177" t="n">
        <f aca="false">Q$3*$E137</f>
        <v>9.61518409356524</v>
      </c>
      <c r="R137" s="177" t="n">
        <f aca="false">R$3*$E137</f>
        <v>10.4380761032822</v>
      </c>
      <c r="S137" s="177" t="n">
        <f aca="false">S$3*$E137</f>
        <v>11.3659905</v>
      </c>
      <c r="T137" s="177" t="n">
        <f aca="false">T$3*$E137</f>
        <v>12.2939048967178</v>
      </c>
      <c r="U137" s="177" t="n">
        <f aca="false">U$3*$E137</f>
        <v>13.1167969064348</v>
      </c>
      <c r="V137" s="177" t="n">
        <f aca="false">V$3*$E137</f>
        <v>13.772356152973</v>
      </c>
      <c r="W137" s="177" t="n">
        <f aca="false">W$3*$E137</f>
        <v>14.2514144804829</v>
      </c>
      <c r="X137" s="177" t="n">
        <f aca="false">X$3*$E137</f>
        <v>14.5798517643542</v>
      </c>
      <c r="Y137" s="177" t="n">
        <f aca="false">Y$3*$E137</f>
        <v>14.795292650673</v>
      </c>
      <c r="Z137" s="177" t="n">
        <f aca="false">Z$3*$E137</f>
        <v>14.9325456424975</v>
      </c>
      <c r="AA137" s="177" t="n">
        <f aca="false">AA$3*$E137</f>
        <v>15.0183666056266</v>
      </c>
      <c r="AB137" s="177" t="n">
        <f aca="false">AB$3*$E137</f>
        <v>15.0714023429578</v>
      </c>
      <c r="AC137" s="177" t="n">
        <f aca="false">AC$3*$E137</f>
        <v>15.1039400799844</v>
      </c>
      <c r="AD137" s="219" t="n">
        <f aca="false">Algae_electricity_factor/H137</f>
        <v>0.00181377906793903</v>
      </c>
      <c r="AE137" s="220" t="n">
        <f aca="false">Algae_electricity_factor/I137</f>
        <v>0.00181377906793903</v>
      </c>
      <c r="AF137" s="220" t="n">
        <f aca="false">Algae_electricity_factor/J137</f>
        <v>0.00181377906793903</v>
      </c>
      <c r="AG137" s="220" t="n">
        <f aca="false">Algae_electricity_factor/K137</f>
        <v>0.00181377906793903</v>
      </c>
      <c r="AH137" s="220" t="n">
        <f aca="false">Algae_electricity_factor/L137</f>
        <v>0.00181377906793903</v>
      </c>
      <c r="AI137" s="220" t="n">
        <f aca="false">Algae_electricity_factor/M137</f>
        <v>0.00173165387106258</v>
      </c>
      <c r="AJ137" s="220" t="n">
        <f aca="false">Algae_electricity_factor/N137</f>
        <v>0.00168589048410007</v>
      </c>
      <c r="AK137" s="220" t="n">
        <f aca="false">Algae_electricity_factor/O137</f>
        <v>0.00162059893898596</v>
      </c>
      <c r="AL137" s="220" t="n">
        <f aca="false">Algae_electricity_factor/P137</f>
        <v>0.00153394783131903</v>
      </c>
      <c r="AM137" s="220" t="n">
        <f aca="false">Algae_electricity_factor/Q137</f>
        <v>0.00142936390710677</v>
      </c>
      <c r="AN137" s="220" t="n">
        <f aca="false">Algae_electricity_factor/R137</f>
        <v>0.00131667914350688</v>
      </c>
      <c r="AO137" s="220" t="n">
        <f aca="false">Algae_electricity_factor/S137</f>
        <v>0.00120918604529269</v>
      </c>
      <c r="AP137" s="220" t="n">
        <f aca="false">Algae_electricity_factor/T137</f>
        <v>0.00111791958852704</v>
      </c>
      <c r="AQ137" s="220" t="n">
        <f aca="false">Algae_electricity_factor/U137</f>
        <v>0.00104778607167326</v>
      </c>
      <c r="AR137" s="220" t="n">
        <f aca="false">Algae_electricity_factor/V137</f>
        <v>0.000997911827930947</v>
      </c>
      <c r="AS137" s="220" t="n">
        <f aca="false">Algae_electricity_factor/W137</f>
        <v>0.000964367229817847</v>
      </c>
      <c r="AT137" s="220" t="n">
        <f aca="false">Algae_electricity_factor/X137</f>
        <v>0.000942643130098932</v>
      </c>
      <c r="AU137" s="220" t="n">
        <f aca="false">Algae_electricity_factor/Y137</f>
        <v>0.000928916881066496</v>
      </c>
      <c r="AV137" s="220" t="n">
        <f aca="false">Algae_electricity_factor/Z137</f>
        <v>0.000920378710540515</v>
      </c>
      <c r="AW137" s="220" t="n">
        <f aca="false">Algae_electricity_factor/AA137</f>
        <v>0.000915119297885582</v>
      </c>
      <c r="AX137" s="220" t="n">
        <f aca="false">Algae_electricity_factor/AB137</f>
        <v>0.000911899025106385</v>
      </c>
      <c r="AY137" s="220" t="n">
        <f aca="false">Algae_electricity_factor/AC137</f>
        <v>0.000909934562157202</v>
      </c>
      <c r="AZ137" s="221" t="n">
        <f aca="false">Algae_yield_cost_factor/H137</f>
        <v>0.100410424320637</v>
      </c>
      <c r="BA137" s="197" t="n">
        <f aca="false">Algae_yield_cost_factor/I137</f>
        <v>0.100410424320637</v>
      </c>
      <c r="BB137" s="197" t="n">
        <f aca="false">Algae_yield_cost_factor/J137</f>
        <v>0.100410424320637</v>
      </c>
      <c r="BC137" s="197" t="n">
        <f aca="false">Algae_yield_cost_factor/K137</f>
        <v>0.100410424320637</v>
      </c>
      <c r="BD137" s="197" t="n">
        <f aca="false">Algae_yield_cost_factor/L137</f>
        <v>0.100410424320637</v>
      </c>
      <c r="BE137" s="197" t="n">
        <f aca="false">Algae_yield_cost_factor/M137</f>
        <v>0.0958639908483667</v>
      </c>
      <c r="BF137" s="197" t="n">
        <f aca="false">Algae_yield_cost_factor/N137</f>
        <v>0.093330539457026</v>
      </c>
      <c r="BG137" s="197" t="n">
        <f aca="false">Algae_yield_cost_factor/O137</f>
        <v>0.0897160133742507</v>
      </c>
      <c r="BH137" s="197" t="n">
        <f aca="false">Algae_yield_cost_factor/P137</f>
        <v>0.0849190264410098</v>
      </c>
      <c r="BI137" s="197" t="n">
        <f aca="false">Algae_yield_cost_factor/Q137</f>
        <v>0.0791292825891285</v>
      </c>
      <c r="BJ137" s="197" t="n">
        <f aca="false">Algae_yield_cost_factor/R137</f>
        <v>0.072891077987731</v>
      </c>
      <c r="BK137" s="197" t="n">
        <f aca="false">Algae_yield_cost_factor/S137</f>
        <v>0.0669402828804245</v>
      </c>
      <c r="BL137" s="197" t="n">
        <f aca="false">Algae_yield_cost_factor/T137</f>
        <v>0.0618877912004467</v>
      </c>
      <c r="BM137" s="197" t="n">
        <f aca="false">Algae_yield_cost_factor/U137</f>
        <v>0.0580052145896204</v>
      </c>
      <c r="BN137" s="197" t="n">
        <f aca="false">Algae_yield_cost_factor/V137</f>
        <v>0.0552441870392656</v>
      </c>
      <c r="BO137" s="197" t="n">
        <f aca="false">Algae_yield_cost_factor/W137</f>
        <v>0.0533871652058243</v>
      </c>
      <c r="BP137" s="197" t="n">
        <f aca="false">Algae_yield_cost_factor/X137</f>
        <v>0.0521845236551978</v>
      </c>
      <c r="BQ137" s="197" t="n">
        <f aca="false">Algae_yield_cost_factor/Y137</f>
        <v>0.0514246414214461</v>
      </c>
      <c r="BR137" s="197" t="n">
        <f aca="false">Algae_yield_cost_factor/Z137</f>
        <v>0.0509519701129113</v>
      </c>
      <c r="BS137" s="197" t="n">
        <f aca="false">Algae_yield_cost_factor/AA137</f>
        <v>0.0506608101443716</v>
      </c>
      <c r="BT137" s="197" t="n">
        <f aca="false">Algae_yield_cost_factor/AB137</f>
        <v>0.050482536526651</v>
      </c>
      <c r="BU137" s="197" t="n">
        <f aca="false">Algae_yield_cost_factor/AC137</f>
        <v>0.0503737842746395</v>
      </c>
    </row>
    <row r="138" customFormat="false" ht="15" hidden="false" customHeight="false" outlineLevel="0" collapsed="false">
      <c r="A138" s="18" t="s">
        <v>712</v>
      </c>
      <c r="B138" s="18" t="s">
        <v>22</v>
      </c>
      <c r="C138" s="18" t="s">
        <v>692</v>
      </c>
      <c r="D138" s="18" t="s">
        <v>692</v>
      </c>
      <c r="E138" s="28" t="n">
        <v>5.584865</v>
      </c>
      <c r="F138" s="185" t="n">
        <f aca="false">E138/$B$2*$F$3/1000</f>
        <v>0.01368291925</v>
      </c>
      <c r="G138" s="18" t="n">
        <f aca="false">LOOKUP(RIGHT(D138,5),Ref!$C$4:$C$21,Ref!$E$4:$E$21)*$G$3</f>
        <v>2.5</v>
      </c>
      <c r="H138" s="218" t="n">
        <f aca="false">$E138</f>
        <v>5.584865</v>
      </c>
      <c r="I138" s="177" t="n">
        <f aca="false">$E138</f>
        <v>5.584865</v>
      </c>
      <c r="J138" s="177" t="n">
        <f aca="false">$E138</f>
        <v>5.584865</v>
      </c>
      <c r="K138" s="177" t="n">
        <f aca="false">$E138</f>
        <v>5.584865</v>
      </c>
      <c r="L138" s="177" t="n">
        <f aca="false">$E138</f>
        <v>5.584865</v>
      </c>
      <c r="M138" s="177" t="n">
        <f aca="false">M$3*$E138</f>
        <v>5.84973209920383</v>
      </c>
      <c r="N138" s="177" t="n">
        <f aca="false">N$3*$E138</f>
        <v>6.00852269456434</v>
      </c>
      <c r="O138" s="177" t="n">
        <f aca="false">O$3*$E138</f>
        <v>6.25059722709905</v>
      </c>
      <c r="P138" s="177" t="n">
        <f aca="false">P$3*$E138</f>
        <v>6.60368692301279</v>
      </c>
      <c r="Q138" s="177" t="n">
        <f aca="false">Q$3*$E138</f>
        <v>7.08686653125954</v>
      </c>
      <c r="R138" s="177" t="n">
        <f aca="false">R$3*$E138</f>
        <v>7.69337866724735</v>
      </c>
      <c r="S138" s="177" t="n">
        <f aca="false">S$3*$E138</f>
        <v>8.3772975</v>
      </c>
      <c r="T138" s="177" t="n">
        <f aca="false">T$3*$E138</f>
        <v>9.06121633275265</v>
      </c>
      <c r="U138" s="177" t="n">
        <f aca="false">U$3*$E138</f>
        <v>9.66772846874046</v>
      </c>
      <c r="V138" s="177" t="n">
        <f aca="false">V$3*$E138</f>
        <v>10.1509080769872</v>
      </c>
      <c r="W138" s="177" t="n">
        <f aca="false">W$3*$E138</f>
        <v>10.5039977729009</v>
      </c>
      <c r="X138" s="177" t="n">
        <f aca="false">X$3*$E138</f>
        <v>10.7460723054357</v>
      </c>
      <c r="Y138" s="177" t="n">
        <f aca="false">Y$3*$E138</f>
        <v>10.9048629007962</v>
      </c>
      <c r="Z138" s="177" t="n">
        <f aca="false">Z$3*$E138</f>
        <v>11.0060251484048</v>
      </c>
      <c r="AA138" s="177" t="n">
        <f aca="false">AA$3*$E138</f>
        <v>11.0692794455001</v>
      </c>
      <c r="AB138" s="177" t="n">
        <f aca="false">AB$3*$E138</f>
        <v>11.1083694086454</v>
      </c>
      <c r="AC138" s="177" t="n">
        <f aca="false">AC$3*$E138</f>
        <v>11.1323513311227</v>
      </c>
      <c r="AD138" s="219" t="n">
        <f aca="false">Algae_electricity_factor/H138</f>
        <v>0.00246086469476509</v>
      </c>
      <c r="AE138" s="220" t="n">
        <f aca="false">Algae_electricity_factor/I138</f>
        <v>0.00246086469476509</v>
      </c>
      <c r="AF138" s="220" t="n">
        <f aca="false">Algae_electricity_factor/J138</f>
        <v>0.00246086469476509</v>
      </c>
      <c r="AG138" s="220" t="n">
        <f aca="false">Algae_electricity_factor/K138</f>
        <v>0.00246086469476509</v>
      </c>
      <c r="AH138" s="220" t="n">
        <f aca="false">Algae_electricity_factor/L138</f>
        <v>0.00246086469476509</v>
      </c>
      <c r="AI138" s="220" t="n">
        <f aca="false">Algae_electricity_factor/M138</f>
        <v>0.0023494404308532</v>
      </c>
      <c r="AJ138" s="220" t="n">
        <f aca="false">Algae_electricity_factor/N138</f>
        <v>0.00228735045237701</v>
      </c>
      <c r="AK138" s="220" t="n">
        <f aca="false">Algae_electricity_factor/O138</f>
        <v>0.00219876543059674</v>
      </c>
      <c r="AL138" s="220" t="n">
        <f aca="false">Algae_electricity_factor/P138</f>
        <v>0.0020812005874529</v>
      </c>
      <c r="AM138" s="220" t="n">
        <f aca="false">Algae_electricity_factor/Q138</f>
        <v>0.00193930519827169</v>
      </c>
      <c r="AN138" s="220" t="n">
        <f aca="false">Algae_electricity_factor/R138</f>
        <v>0.00178641890617437</v>
      </c>
      <c r="AO138" s="220" t="n">
        <f aca="false">Algae_electricity_factor/S138</f>
        <v>0.00164057646317673</v>
      </c>
      <c r="AP138" s="220" t="n">
        <f aca="false">Algae_electricity_factor/T138</f>
        <v>0.00151674969439276</v>
      </c>
      <c r="AQ138" s="220" t="n">
        <f aca="false">Algae_electricity_factor/U138</f>
        <v>0.00142159527421231</v>
      </c>
      <c r="AR138" s="220" t="n">
        <f aca="false">Algae_electricity_factor/V138</f>
        <v>0.00135392784559708</v>
      </c>
      <c r="AS138" s="220" t="n">
        <f aca="false">Algae_electricity_factor/W138</f>
        <v>0.00130841584325028</v>
      </c>
      <c r="AT138" s="220" t="n">
        <f aca="false">Algae_electricity_factor/X138</f>
        <v>0.00127894143207815</v>
      </c>
      <c r="AU138" s="220" t="n">
        <f aca="false">Algae_electricity_factor/Y138</f>
        <v>0.00126031819276938</v>
      </c>
      <c r="AV138" s="220" t="n">
        <f aca="false">Algae_electricity_factor/Z138</f>
        <v>0.00124873393602242</v>
      </c>
      <c r="AW138" s="220" t="n">
        <f aca="false">Algae_electricity_factor/AA138</f>
        <v>0.00124159817007026</v>
      </c>
      <c r="AX138" s="220" t="n">
        <f aca="false">Algae_electricity_factor/AB138</f>
        <v>0.00123722902956693</v>
      </c>
      <c r="AY138" s="220" t="n">
        <f aca="false">Algae_electricity_factor/AC138</f>
        <v>0.00123456372285936</v>
      </c>
      <c r="AZ138" s="221" t="n">
        <f aca="false">Algae_yield_cost_factor/H138</f>
        <v>0.136232947311389</v>
      </c>
      <c r="BA138" s="197" t="n">
        <f aca="false">Algae_yield_cost_factor/I138</f>
        <v>0.136232947311389</v>
      </c>
      <c r="BB138" s="197" t="n">
        <f aca="false">Algae_yield_cost_factor/J138</f>
        <v>0.136232947311389</v>
      </c>
      <c r="BC138" s="197" t="n">
        <f aca="false">Algae_yield_cost_factor/K138</f>
        <v>0.136232947311389</v>
      </c>
      <c r="BD138" s="197" t="n">
        <f aca="false">Algae_yield_cost_factor/L138</f>
        <v>0.136232947311389</v>
      </c>
      <c r="BE138" s="197" t="n">
        <f aca="false">Algae_yield_cost_factor/M138</f>
        <v>0.130064523705243</v>
      </c>
      <c r="BF138" s="197" t="n">
        <f aca="false">Algae_yield_cost_factor/N138</f>
        <v>0.126627235672176</v>
      </c>
      <c r="BG138" s="197" t="n">
        <f aca="false">Algae_yield_cost_factor/O138</f>
        <v>0.121723187663994</v>
      </c>
      <c r="BH138" s="197" t="n">
        <f aca="false">Algae_yield_cost_factor/P138</f>
        <v>0.115214822894587</v>
      </c>
      <c r="BI138" s="197" t="n">
        <f aca="false">Algae_yield_cost_factor/Q138</f>
        <v>0.107359524259446</v>
      </c>
      <c r="BJ138" s="197" t="n">
        <f aca="false">Algae_yield_cost_factor/R138</f>
        <v>0.0988957715711195</v>
      </c>
      <c r="BK138" s="197" t="n">
        <f aca="false">Algae_yield_cost_factor/S138</f>
        <v>0.090821964874259</v>
      </c>
      <c r="BL138" s="197" t="n">
        <f aca="false">Algae_yield_cost_factor/T138</f>
        <v>0.0839669412301832</v>
      </c>
      <c r="BM138" s="197" t="n">
        <f aca="false">Algae_yield_cost_factor/U138</f>
        <v>0.0786992127205805</v>
      </c>
      <c r="BN138" s="197" t="n">
        <f aca="false">Algae_yield_cost_factor/V138</f>
        <v>0.0749531582313408</v>
      </c>
      <c r="BO138" s="197" t="n">
        <f aca="false">Algae_yield_cost_factor/W138</f>
        <v>0.0724336234389825</v>
      </c>
      <c r="BP138" s="197" t="n">
        <f aca="false">Algae_yield_cost_factor/X138</f>
        <v>0.0708019262909075</v>
      </c>
      <c r="BQ138" s="197" t="n">
        <f aca="false">Algae_yield_cost_factor/Y138</f>
        <v>0.0697709477145896</v>
      </c>
      <c r="BR138" s="197" t="n">
        <f aca="false">Algae_yield_cost_factor/Z138</f>
        <v>0.0691296457192351</v>
      </c>
      <c r="BS138" s="197" t="n">
        <f aca="false">Algae_yield_cost_factor/AA138</f>
        <v>0.0687346112303199</v>
      </c>
      <c r="BT138" s="197" t="n">
        <f aca="false">Algae_yield_cost_factor/AB138</f>
        <v>0.0684927365391784</v>
      </c>
      <c r="BU138" s="197" t="n">
        <f aca="false">Algae_yield_cost_factor/AC138</f>
        <v>0.0683451857254207</v>
      </c>
    </row>
    <row r="139" customFormat="false" ht="15" hidden="false" customHeight="false" outlineLevel="0" collapsed="false">
      <c r="A139" s="18" t="s">
        <v>712</v>
      </c>
      <c r="B139" s="18" t="s">
        <v>22</v>
      </c>
      <c r="C139" s="18" t="s">
        <v>683</v>
      </c>
      <c r="D139" s="18" t="s">
        <v>683</v>
      </c>
      <c r="E139" s="28" t="n">
        <v>6.928065</v>
      </c>
      <c r="F139" s="185" t="n">
        <f aca="false">E139/$B$2*$F$3/1000</f>
        <v>0.01697375925</v>
      </c>
      <c r="G139" s="18" t="n">
        <f aca="false">LOOKUP(RIGHT(D139,5),Ref!$C$4:$C$21,Ref!$E$4:$E$21)*$G$3</f>
        <v>3</v>
      </c>
      <c r="H139" s="218" t="n">
        <f aca="false">$E139</f>
        <v>6.928065</v>
      </c>
      <c r="I139" s="177" t="n">
        <f aca="false">$E139</f>
        <v>6.928065</v>
      </c>
      <c r="J139" s="177" t="n">
        <f aca="false">$E139</f>
        <v>6.928065</v>
      </c>
      <c r="K139" s="177" t="n">
        <f aca="false">$E139</f>
        <v>6.928065</v>
      </c>
      <c r="L139" s="177" t="n">
        <f aca="false">$E139</f>
        <v>6.928065</v>
      </c>
      <c r="M139" s="177" t="n">
        <f aca="false">M$3*$E139</f>
        <v>7.25663453205594</v>
      </c>
      <c r="N139" s="177" t="n">
        <f aca="false">N$3*$E139</f>
        <v>7.45361540196888</v>
      </c>
      <c r="O139" s="177" t="n">
        <f aca="false">O$3*$E139</f>
        <v>7.75391059195916</v>
      </c>
      <c r="P139" s="177" t="n">
        <f aca="false">P$3*$E139</f>
        <v>8.19192088658948</v>
      </c>
      <c r="Q139" s="177" t="n">
        <f aca="false">Q$3*$E139</f>
        <v>8.79130864844372</v>
      </c>
      <c r="R139" s="177" t="n">
        <f aca="false">R$3*$E139</f>
        <v>9.54369129357703</v>
      </c>
      <c r="S139" s="177" t="n">
        <f aca="false">S$3*$E139</f>
        <v>10.3920975</v>
      </c>
      <c r="T139" s="177" t="n">
        <f aca="false">T$3*$E139</f>
        <v>11.240503706423</v>
      </c>
      <c r="U139" s="177" t="n">
        <f aca="false">U$3*$E139</f>
        <v>11.9928863515563</v>
      </c>
      <c r="V139" s="177" t="n">
        <f aca="false">V$3*$E139</f>
        <v>12.5922741134105</v>
      </c>
      <c r="W139" s="177" t="n">
        <f aca="false">W$3*$E139</f>
        <v>13.0302844080408</v>
      </c>
      <c r="X139" s="177" t="n">
        <f aca="false">X$3*$E139</f>
        <v>13.3305795980311</v>
      </c>
      <c r="Y139" s="177" t="n">
        <f aca="false">Y$3*$E139</f>
        <v>13.5275604679441</v>
      </c>
      <c r="Z139" s="177" t="n">
        <f aca="false">Z$3*$E139</f>
        <v>13.6530529600596</v>
      </c>
      <c r="AA139" s="177" t="n">
        <f aca="false">AA$3*$E139</f>
        <v>13.731520368279</v>
      </c>
      <c r="AB139" s="177" t="n">
        <f aca="false">AB$3*$E139</f>
        <v>13.780011747304</v>
      </c>
      <c r="AC139" s="177" t="n">
        <f aca="false">AC$3*$E139</f>
        <v>13.8097614937612</v>
      </c>
      <c r="AD139" s="219" t="n">
        <f aca="false">Algae_electricity_factor/H139</f>
        <v>0.00198375695140407</v>
      </c>
      <c r="AE139" s="220" t="n">
        <f aca="false">Algae_electricity_factor/I139</f>
        <v>0.00198375695140407</v>
      </c>
      <c r="AF139" s="220" t="n">
        <f aca="false">Algae_electricity_factor/J139</f>
        <v>0.00198375695140407</v>
      </c>
      <c r="AG139" s="220" t="n">
        <f aca="false">Algae_electricity_factor/K139</f>
        <v>0.00198375695140407</v>
      </c>
      <c r="AH139" s="220" t="n">
        <f aca="false">Algae_electricity_factor/L139</f>
        <v>0.00198375695140407</v>
      </c>
      <c r="AI139" s="220" t="n">
        <f aca="false">Algae_electricity_factor/M139</f>
        <v>0.00189393541080474</v>
      </c>
      <c r="AJ139" s="220" t="n">
        <f aca="false">Algae_electricity_factor/N139</f>
        <v>0.00184388331867766</v>
      </c>
      <c r="AK139" s="220" t="n">
        <f aca="false">Algae_electricity_factor/O139</f>
        <v>0.00177247299160006</v>
      </c>
      <c r="AL139" s="220" t="n">
        <f aca="false">Algae_electricity_factor/P139</f>
        <v>0.00167770139553326</v>
      </c>
      <c r="AM139" s="220" t="n">
        <f aca="false">Algae_electricity_factor/Q139</f>
        <v>0.00156331641318977</v>
      </c>
      <c r="AN139" s="220" t="n">
        <f aca="false">Algae_electricity_factor/R139</f>
        <v>0.00144007142317971</v>
      </c>
      <c r="AO139" s="220" t="n">
        <f aca="false">Algae_electricity_factor/S139</f>
        <v>0.00132250463426938</v>
      </c>
      <c r="AP139" s="220" t="n">
        <f aca="false">Algae_electricity_factor/T139</f>
        <v>0.00122268516273661</v>
      </c>
      <c r="AQ139" s="220" t="n">
        <f aca="false">Algae_electricity_factor/U139</f>
        <v>0.00114597909966401</v>
      </c>
      <c r="AR139" s="220" t="n">
        <f aca="false">Algae_electricity_factor/V139</f>
        <v>0.00109143090277018</v>
      </c>
      <c r="AS139" s="220" t="n">
        <f aca="false">Algae_electricity_factor/W139</f>
        <v>0.00105474268044742</v>
      </c>
      <c r="AT139" s="220" t="n">
        <f aca="false">Algae_electricity_factor/X139</f>
        <v>0.0010309827117764</v>
      </c>
      <c r="AU139" s="220" t="n">
        <f aca="false">Algae_electricity_factor/Y139</f>
        <v>0.00101597011050863</v>
      </c>
      <c r="AV139" s="220" t="n">
        <f aca="false">Algae_electricity_factor/Z139</f>
        <v>0.00100663178731779</v>
      </c>
      <c r="AW139" s="220" t="n">
        <f aca="false">Algae_electricity_factor/AA139</f>
        <v>0.00100087949002925</v>
      </c>
      <c r="AX139" s="220" t="n">
        <f aca="false">Algae_electricity_factor/AB139</f>
        <v>0.000997357430135584</v>
      </c>
      <c r="AY139" s="220" t="n">
        <f aca="false">Algae_electricity_factor/AC139</f>
        <v>0.000995208867998055</v>
      </c>
      <c r="AZ139" s="221" t="n">
        <f aca="false">Algae_yield_cost_factor/H139</f>
        <v>0.109820363880278</v>
      </c>
      <c r="BA139" s="197" t="n">
        <f aca="false">Algae_yield_cost_factor/I139</f>
        <v>0.109820363880278</v>
      </c>
      <c r="BB139" s="197" t="n">
        <f aca="false">Algae_yield_cost_factor/J139</f>
        <v>0.109820363880278</v>
      </c>
      <c r="BC139" s="197" t="n">
        <f aca="false">Algae_yield_cost_factor/K139</f>
        <v>0.109820363880278</v>
      </c>
      <c r="BD139" s="197" t="n">
        <f aca="false">Algae_yield_cost_factor/L139</f>
        <v>0.109820363880278</v>
      </c>
      <c r="BE139" s="197" t="n">
        <f aca="false">Algae_yield_cost_factor/M139</f>
        <v>0.104847862452659</v>
      </c>
      <c r="BF139" s="197" t="n">
        <f aca="false">Algae_yield_cost_factor/N139</f>
        <v>0.102076989253462</v>
      </c>
      <c r="BG139" s="197" t="n">
        <f aca="false">Algae_yield_cost_factor/O139</f>
        <v>0.0981237286995822</v>
      </c>
      <c r="BH139" s="197" t="n">
        <f aca="false">Algae_yield_cost_factor/P139</f>
        <v>0.0928771932516766</v>
      </c>
      <c r="BI139" s="197" t="n">
        <f aca="false">Algae_yield_cost_factor/Q139</f>
        <v>0.0865448649014167</v>
      </c>
      <c r="BJ139" s="197" t="n">
        <f aca="false">Algae_yield_cost_factor/R139</f>
        <v>0.079722048406812</v>
      </c>
      <c r="BK139" s="197" t="n">
        <f aca="false">Algae_yield_cost_factor/S139</f>
        <v>0.0732135759201853</v>
      </c>
      <c r="BL139" s="197" t="n">
        <f aca="false">Algae_yield_cost_factor/T139</f>
        <v>0.0676875911576331</v>
      </c>
      <c r="BM139" s="197" t="n">
        <f aca="false">Algae_yield_cost_factor/U139</f>
        <v>0.0634411597828145</v>
      </c>
      <c r="BN139" s="197" t="n">
        <f aca="false">Algae_yield_cost_factor/V139</f>
        <v>0.060421383177796</v>
      </c>
      <c r="BO139" s="197" t="n">
        <f aca="false">Algae_yield_cost_factor/W139</f>
        <v>0.0583903309751789</v>
      </c>
      <c r="BP139" s="197" t="n">
        <f aca="false">Algae_yield_cost_factor/X139</f>
        <v>0.0570749841513711</v>
      </c>
      <c r="BQ139" s="197" t="n">
        <f aca="false">Algae_yield_cost_factor/Y139</f>
        <v>0.0562438897308327</v>
      </c>
      <c r="BR139" s="197" t="n">
        <f aca="false">Algae_yield_cost_factor/Z139</f>
        <v>0.0557269221405625</v>
      </c>
      <c r="BS139" s="197" t="n">
        <f aca="false">Algae_yield_cost_factor/AA139</f>
        <v>0.0554084761832951</v>
      </c>
      <c r="BT139" s="197" t="n">
        <f aca="false">Algae_yield_cost_factor/AB139</f>
        <v>0.0552134956949565</v>
      </c>
      <c r="BU139" s="197" t="n">
        <f aca="false">Algae_yield_cost_factor/AC139</f>
        <v>0.0550945517509437</v>
      </c>
    </row>
    <row r="140" customFormat="false" ht="15" hidden="false" customHeight="false" outlineLevel="0" collapsed="false">
      <c r="A140" s="18" t="s">
        <v>712</v>
      </c>
      <c r="B140" s="18" t="s">
        <v>22</v>
      </c>
      <c r="C140" s="18" t="s">
        <v>684</v>
      </c>
      <c r="D140" s="18" t="s">
        <v>684</v>
      </c>
      <c r="E140" s="28" t="n">
        <v>6.61115375</v>
      </c>
      <c r="F140" s="185" t="n">
        <f aca="false">E140/$B$2*$F$3/1000</f>
        <v>0.0161973266875</v>
      </c>
      <c r="G140" s="18" t="n">
        <f aca="false">LOOKUP(RIGHT(D140,5),Ref!$C$4:$C$21,Ref!$E$4:$E$21)*$G$3</f>
        <v>3.5</v>
      </c>
      <c r="H140" s="218" t="n">
        <f aca="false">$E140</f>
        <v>6.61115375</v>
      </c>
      <c r="I140" s="177" t="n">
        <f aca="false">$E140</f>
        <v>6.61115375</v>
      </c>
      <c r="J140" s="177" t="n">
        <f aca="false">$E140</f>
        <v>6.61115375</v>
      </c>
      <c r="K140" s="177" t="n">
        <f aca="false">$E140</f>
        <v>6.61115375</v>
      </c>
      <c r="L140" s="177" t="n">
        <f aca="false">$E140</f>
        <v>6.61115375</v>
      </c>
      <c r="M140" s="177" t="n">
        <f aca="false">M$3*$E140</f>
        <v>6.9246934893049</v>
      </c>
      <c r="N140" s="177" t="n">
        <f aca="false">N$3*$E140</f>
        <v>7.11266384131562</v>
      </c>
      <c r="O140" s="177" t="n">
        <f aca="false">O$3*$E140</f>
        <v>7.39922259493748</v>
      </c>
      <c r="P140" s="177" t="n">
        <f aca="false">P$3*$E140</f>
        <v>7.81719693580811</v>
      </c>
      <c r="Q140" s="177" t="n">
        <f aca="false">Q$3*$E140</f>
        <v>8.38916683642057</v>
      </c>
      <c r="R140" s="177" t="n">
        <f aca="false">R$3*$E140</f>
        <v>9.10713315830237</v>
      </c>
      <c r="S140" s="177" t="n">
        <f aca="false">S$3*$E140</f>
        <v>9.916730625</v>
      </c>
      <c r="T140" s="177" t="n">
        <f aca="false">T$3*$E140</f>
        <v>10.7263280916976</v>
      </c>
      <c r="U140" s="177" t="n">
        <f aca="false">U$3*$E140</f>
        <v>11.4442944135794</v>
      </c>
      <c r="V140" s="177" t="n">
        <f aca="false">V$3*$E140</f>
        <v>12.0162643141919</v>
      </c>
      <c r="W140" s="177" t="n">
        <f aca="false">W$3*$E140</f>
        <v>12.4342386550625</v>
      </c>
      <c r="X140" s="177" t="n">
        <f aca="false">X$3*$E140</f>
        <v>12.7207974086844</v>
      </c>
      <c r="Y140" s="177" t="n">
        <f aca="false">Y$3*$E140</f>
        <v>12.9087677606951</v>
      </c>
      <c r="Z140" s="177" t="n">
        <f aca="false">Z$3*$E140</f>
        <v>13.0285198357473</v>
      </c>
      <c r="AA140" s="177" t="n">
        <f aca="false">AA$3*$E140</f>
        <v>13.1033979005608</v>
      </c>
      <c r="AB140" s="177" t="n">
        <f aca="false">AB$3*$E140</f>
        <v>13.1496711330267</v>
      </c>
      <c r="AC140" s="177" t="n">
        <f aca="false">AC$3*$E140</f>
        <v>13.1780600335137</v>
      </c>
      <c r="AD140" s="219" t="n">
        <f aca="false">Algae_electricity_factor/H140</f>
        <v>0.00207885001971543</v>
      </c>
      <c r="AE140" s="220" t="n">
        <f aca="false">Algae_electricity_factor/I140</f>
        <v>0.00207885001971543</v>
      </c>
      <c r="AF140" s="220" t="n">
        <f aca="false">Algae_electricity_factor/J140</f>
        <v>0.00207885001971543</v>
      </c>
      <c r="AG140" s="220" t="n">
        <f aca="false">Algae_electricity_factor/K140</f>
        <v>0.00207885001971543</v>
      </c>
      <c r="AH140" s="220" t="n">
        <f aca="false">Algae_electricity_factor/L140</f>
        <v>0.00207885001971543</v>
      </c>
      <c r="AI140" s="220" t="n">
        <f aca="false">Algae_electricity_factor/M140</f>
        <v>0.00198472280755185</v>
      </c>
      <c r="AJ140" s="220" t="n">
        <f aca="false">Algae_electricity_factor/N140</f>
        <v>0.00193227142602976</v>
      </c>
      <c r="AK140" s="220" t="n">
        <f aca="false">Algae_electricity_factor/O140</f>
        <v>0.00185743798448942</v>
      </c>
      <c r="AL140" s="220" t="n">
        <f aca="false">Algae_electricity_factor/P140</f>
        <v>0.00175812343176033</v>
      </c>
      <c r="AM140" s="220" t="n">
        <f aca="false">Algae_electricity_factor/Q140</f>
        <v>0.00163825530848464</v>
      </c>
      <c r="AN140" s="220" t="n">
        <f aca="false">Algae_electricity_factor/R140</f>
        <v>0.00150910246557668</v>
      </c>
      <c r="AO140" s="220" t="n">
        <f aca="false">Algae_electricity_factor/S140</f>
        <v>0.00138590001314362</v>
      </c>
      <c r="AP140" s="220" t="n">
        <f aca="false">Algae_electricity_factor/T140</f>
        <v>0.0012812956107661</v>
      </c>
      <c r="AQ140" s="220" t="n">
        <f aca="false">Algae_electricity_factor/U140</f>
        <v>0.00120091257764407</v>
      </c>
      <c r="AR140" s="220" t="n">
        <f aca="false">Algae_electricity_factor/V140</f>
        <v>0.00114374956676821</v>
      </c>
      <c r="AS140" s="220" t="n">
        <f aca="false">Algae_electricity_factor/W140</f>
        <v>0.00110530266345931</v>
      </c>
      <c r="AT140" s="220" t="n">
        <f aca="false">Algae_electricity_factor/X140</f>
        <v>0.00108040374058207</v>
      </c>
      <c r="AU140" s="220" t="n">
        <f aca="false">Algae_electricity_factor/Y140</f>
        <v>0.00106467149756742</v>
      </c>
      <c r="AV140" s="220" t="n">
        <f aca="false">Algae_electricity_factor/Z140</f>
        <v>0.00105488553395144</v>
      </c>
      <c r="AW140" s="220" t="n">
        <f aca="false">Algae_electricity_factor/AA140</f>
        <v>0.00104885749542422</v>
      </c>
      <c r="AX140" s="220" t="n">
        <f aca="false">Algae_electricity_factor/AB140</f>
        <v>0.00104516660260885</v>
      </c>
      <c r="AY140" s="220" t="n">
        <f aca="false">Algae_electricity_factor/AC140</f>
        <v>0.00104291504732694</v>
      </c>
      <c r="AZ140" s="221" t="n">
        <f aca="false">Algae_yield_cost_factor/H140</f>
        <v>0.115084695963427</v>
      </c>
      <c r="BA140" s="197" t="n">
        <f aca="false">Algae_yield_cost_factor/I140</f>
        <v>0.115084695963427</v>
      </c>
      <c r="BB140" s="197" t="n">
        <f aca="false">Algae_yield_cost_factor/J140</f>
        <v>0.115084695963427</v>
      </c>
      <c r="BC140" s="197" t="n">
        <f aca="false">Algae_yield_cost_factor/K140</f>
        <v>0.115084695963427</v>
      </c>
      <c r="BD140" s="197" t="n">
        <f aca="false">Algae_yield_cost_factor/L140</f>
        <v>0.115084695963427</v>
      </c>
      <c r="BE140" s="197" t="n">
        <f aca="false">Algae_yield_cost_factor/M140</f>
        <v>0.109873833471666</v>
      </c>
      <c r="BF140" s="197" t="n">
        <f aca="false">Algae_yield_cost_factor/N140</f>
        <v>0.106970136120687</v>
      </c>
      <c r="BG140" s="197" t="n">
        <f aca="false">Algae_yield_cost_factor/O140</f>
        <v>0.102827372676527</v>
      </c>
      <c r="BH140" s="197" t="n">
        <f aca="false">Algae_yield_cost_factor/P140</f>
        <v>0.0973293401118038</v>
      </c>
      <c r="BI140" s="197" t="n">
        <f aca="false">Algae_yield_cost_factor/Q140</f>
        <v>0.0906934662430493</v>
      </c>
      <c r="BJ140" s="197" t="n">
        <f aca="false">Algae_yield_cost_factor/R140</f>
        <v>0.0835435922656526</v>
      </c>
      <c r="BK140" s="197" t="n">
        <f aca="false">Algae_yield_cost_factor/S140</f>
        <v>0.0767231306422844</v>
      </c>
      <c r="BL140" s="197" t="n">
        <f aca="false">Algae_yield_cost_factor/T140</f>
        <v>0.0709322531235198</v>
      </c>
      <c r="BM140" s="197" t="n">
        <f aca="false">Algae_yield_cost_factor/U140</f>
        <v>0.0664822654670109</v>
      </c>
      <c r="BN140" s="197" t="n">
        <f aca="false">Algae_yield_cost_factor/V140</f>
        <v>0.0633177333148056</v>
      </c>
      <c r="BO140" s="197" t="n">
        <f aca="false">Algae_yield_cost_factor/W140</f>
        <v>0.0611893209059845</v>
      </c>
      <c r="BP140" s="197" t="n">
        <f aca="false">Algae_yield_cost_factor/X140</f>
        <v>0.0598109218190046</v>
      </c>
      <c r="BQ140" s="197" t="n">
        <f aca="false">Algae_yield_cost_factor/Y140</f>
        <v>0.0589399881840657</v>
      </c>
      <c r="BR140" s="197" t="n">
        <f aca="false">Algae_yield_cost_factor/Z140</f>
        <v>0.0583982393148482</v>
      </c>
      <c r="BS140" s="197" t="n">
        <f aca="false">Algae_yield_cost_factor/AA140</f>
        <v>0.0580645283811196</v>
      </c>
      <c r="BT140" s="197" t="n">
        <f aca="false">Algae_yield_cost_factor/AB140</f>
        <v>0.0578602013380612</v>
      </c>
      <c r="BU140" s="197" t="n">
        <f aca="false">Algae_yield_cost_factor/AC140</f>
        <v>0.0577355557154304</v>
      </c>
    </row>
    <row r="141" customFormat="false" ht="15" hidden="false" customHeight="false" outlineLevel="0" collapsed="false">
      <c r="A141" s="18" t="s">
        <v>712</v>
      </c>
      <c r="B141" s="18" t="s">
        <v>22</v>
      </c>
      <c r="C141" s="18" t="s">
        <v>685</v>
      </c>
      <c r="D141" s="18" t="s">
        <v>685</v>
      </c>
      <c r="E141" s="28" t="n">
        <v>6.2398575</v>
      </c>
      <c r="F141" s="185" t="n">
        <f aca="false">E141/$B$2*$F$3/1000</f>
        <v>0.015287650875</v>
      </c>
      <c r="G141" s="18" t="n">
        <f aca="false">LOOKUP(RIGHT(D141,5),Ref!$C$4:$C$21,Ref!$E$4:$E$21)*$G$3</f>
        <v>4</v>
      </c>
      <c r="H141" s="218" t="n">
        <f aca="false">$E141</f>
        <v>6.2398575</v>
      </c>
      <c r="I141" s="177" t="n">
        <f aca="false">$E141</f>
        <v>6.2398575</v>
      </c>
      <c r="J141" s="177" t="n">
        <f aca="false">$E141</f>
        <v>6.2398575</v>
      </c>
      <c r="K141" s="177" t="n">
        <f aca="false">$E141</f>
        <v>6.2398575</v>
      </c>
      <c r="L141" s="177" t="n">
        <f aca="false">$E141</f>
        <v>6.2398575</v>
      </c>
      <c r="M141" s="177" t="n">
        <f aca="false">M$3*$E141</f>
        <v>6.53578819044109</v>
      </c>
      <c r="N141" s="177" t="n">
        <f aca="false">N$3*$E141</f>
        <v>6.71320173354191</v>
      </c>
      <c r="O141" s="177" t="n">
        <f aca="false">O$3*$E141</f>
        <v>6.98366674700163</v>
      </c>
      <c r="P141" s="177" t="n">
        <f aca="false">P$3*$E141</f>
        <v>7.37816677291452</v>
      </c>
      <c r="Q141" s="177" t="n">
        <f aca="false">Q$3*$E141</f>
        <v>7.91801364519623</v>
      </c>
      <c r="R141" s="177" t="n">
        <f aca="false">R$3*$E141</f>
        <v>8.59565747375513</v>
      </c>
      <c r="S141" s="177" t="n">
        <f aca="false">S$3*$E141</f>
        <v>9.35978625</v>
      </c>
      <c r="T141" s="177" t="n">
        <f aca="false">T$3*$E141</f>
        <v>10.1239150262449</v>
      </c>
      <c r="U141" s="177" t="n">
        <f aca="false">U$3*$E141</f>
        <v>10.8015588548038</v>
      </c>
      <c r="V141" s="177" t="n">
        <f aca="false">V$3*$E141</f>
        <v>11.3414057270855</v>
      </c>
      <c r="W141" s="177" t="n">
        <f aca="false">W$3*$E141</f>
        <v>11.7359057529984</v>
      </c>
      <c r="X141" s="177" t="n">
        <f aca="false">X$3*$E141</f>
        <v>12.0063707664581</v>
      </c>
      <c r="Y141" s="177" t="n">
        <f aca="false">Y$3*$E141</f>
        <v>12.1837843095589</v>
      </c>
      <c r="Z141" s="177" t="n">
        <f aca="false">Z$3*$E141</f>
        <v>12.2968108571044</v>
      </c>
      <c r="AA141" s="177" t="n">
        <f aca="false">AA$3*$E141</f>
        <v>12.3674836128715</v>
      </c>
      <c r="AB141" s="177" t="n">
        <f aca="false">AB$3*$E141</f>
        <v>12.4111580436244</v>
      </c>
      <c r="AC141" s="177" t="n">
        <f aca="false">AC$3*$E141</f>
        <v>12.4379525639637</v>
      </c>
      <c r="AD141" s="219" t="n">
        <f aca="false">Algae_electricity_factor/H141</f>
        <v>0.002202549834436</v>
      </c>
      <c r="AE141" s="220" t="n">
        <f aca="false">Algae_electricity_factor/I141</f>
        <v>0.002202549834436</v>
      </c>
      <c r="AF141" s="220" t="n">
        <f aca="false">Algae_electricity_factor/J141</f>
        <v>0.002202549834436</v>
      </c>
      <c r="AG141" s="220" t="n">
        <f aca="false">Algae_electricity_factor/K141</f>
        <v>0.002202549834436</v>
      </c>
      <c r="AH141" s="220" t="n">
        <f aca="false">Algae_electricity_factor/L141</f>
        <v>0.002202549834436</v>
      </c>
      <c r="AI141" s="220" t="n">
        <f aca="false">Algae_electricity_factor/M141</f>
        <v>0.00210282168011961</v>
      </c>
      <c r="AJ141" s="220" t="n">
        <f aca="false">Algae_electricity_factor/N141</f>
        <v>0.0020472492335305</v>
      </c>
      <c r="AK141" s="220" t="n">
        <f aca="false">Algae_electricity_factor/O141</f>
        <v>0.00196796290565124</v>
      </c>
      <c r="AL141" s="220" t="n">
        <f aca="false">Algae_electricity_factor/P141</f>
        <v>0.00186273874344809</v>
      </c>
      <c r="AM141" s="220" t="n">
        <f aca="false">Algae_electricity_factor/Q141</f>
        <v>0.00173573799179638</v>
      </c>
      <c r="AN141" s="220" t="n">
        <f aca="false">Algae_electricity_factor/R141</f>
        <v>0.00159890004289866</v>
      </c>
      <c r="AO141" s="220" t="n">
        <f aca="false">Algae_electricity_factor/S141</f>
        <v>0.00146836655629067</v>
      </c>
      <c r="AP141" s="220" t="n">
        <f aca="false">Algae_electricity_factor/T141</f>
        <v>0.00135753777742117</v>
      </c>
      <c r="AQ141" s="220" t="n">
        <f aca="false">Algae_electricity_factor/U141</f>
        <v>0.00127237163526791</v>
      </c>
      <c r="AR141" s="220" t="n">
        <f aca="false">Algae_electricity_factor/V141</f>
        <v>0.00121180719870614</v>
      </c>
      <c r="AS141" s="220" t="n">
        <f aca="false">Algae_electricity_factor/W141</f>
        <v>0.00117107255228408</v>
      </c>
      <c r="AT141" s="220" t="n">
        <f aca="false">Algae_electricity_factor/X141</f>
        <v>0.00114469204482044</v>
      </c>
      <c r="AU141" s="220" t="n">
        <f aca="false">Algae_electricity_factor/Y141</f>
        <v>0.00112802367099905</v>
      </c>
      <c r="AV141" s="220" t="n">
        <f aca="false">Algae_electricity_factor/Z141</f>
        <v>0.00111765540376584</v>
      </c>
      <c r="AW141" s="220" t="n">
        <f aca="false">Algae_electricity_factor/AA141</f>
        <v>0.00111126867305695</v>
      </c>
      <c r="AX141" s="220" t="n">
        <f aca="false">Algae_electricity_factor/AB141</f>
        <v>0.00110735815749194</v>
      </c>
      <c r="AY141" s="220" t="n">
        <f aca="false">Algae_electricity_factor/AC141</f>
        <v>0.00110497262574777</v>
      </c>
      <c r="AZ141" s="221" t="n">
        <f aca="false">Algae_yield_cost_factor/H141</f>
        <v>0.121932691457492</v>
      </c>
      <c r="BA141" s="197" t="n">
        <f aca="false">Algae_yield_cost_factor/I141</f>
        <v>0.121932691457492</v>
      </c>
      <c r="BB141" s="197" t="n">
        <f aca="false">Algae_yield_cost_factor/J141</f>
        <v>0.121932691457492</v>
      </c>
      <c r="BC141" s="197" t="n">
        <f aca="false">Algae_yield_cost_factor/K141</f>
        <v>0.121932691457492</v>
      </c>
      <c r="BD141" s="197" t="n">
        <f aca="false">Algae_yield_cost_factor/L141</f>
        <v>0.121932691457492</v>
      </c>
      <c r="BE141" s="197" t="n">
        <f aca="false">Algae_yield_cost_factor/M141</f>
        <v>0.116411761996661</v>
      </c>
      <c r="BF141" s="197" t="n">
        <f aca="false">Algae_yield_cost_factor/N141</f>
        <v>0.113335283145855</v>
      </c>
      <c r="BG141" s="197" t="n">
        <f aca="false">Algae_yield_cost_factor/O141</f>
        <v>0.108946008858868</v>
      </c>
      <c r="BH141" s="197" t="n">
        <f aca="false">Algae_yield_cost_factor/P141</f>
        <v>0.103120821567668</v>
      </c>
      <c r="BI141" s="197" t="n">
        <f aca="false">Algae_yield_cost_factor/Q141</f>
        <v>0.0960900869055477</v>
      </c>
      <c r="BJ141" s="197" t="n">
        <f aca="false">Algae_yield_cost_factor/R141</f>
        <v>0.0885147670913222</v>
      </c>
      <c r="BK141" s="197" t="n">
        <f aca="false">Algae_yield_cost_factor/S141</f>
        <v>0.0812884609716614</v>
      </c>
      <c r="BL141" s="197" t="n">
        <f aca="false">Algae_yield_cost_factor/T141</f>
        <v>0.075153003291102</v>
      </c>
      <c r="BM141" s="197" t="n">
        <f aca="false">Algae_yield_cost_factor/U141</f>
        <v>0.0704382237335908</v>
      </c>
      <c r="BN141" s="197" t="n">
        <f aca="false">Algae_yield_cost_factor/V141</f>
        <v>0.0670853893771896</v>
      </c>
      <c r="BO141" s="197" t="n">
        <f aca="false">Algae_yield_cost_factor/W141</f>
        <v>0.0648303279950789</v>
      </c>
      <c r="BP141" s="197" t="n">
        <f aca="false">Algae_yield_cost_factor/X141</f>
        <v>0.0633699086997851</v>
      </c>
      <c r="BQ141" s="197" t="n">
        <f aca="false">Algae_yield_cost_factor/Y141</f>
        <v>0.0624471510620301</v>
      </c>
      <c r="BR141" s="197" t="n">
        <f aca="false">Algae_yield_cost_factor/Z141</f>
        <v>0.0618731659881265</v>
      </c>
      <c r="BS141" s="197" t="n">
        <f aca="false">Algae_yield_cost_factor/AA141</f>
        <v>0.0615195979313342</v>
      </c>
      <c r="BT141" s="197" t="n">
        <f aca="false">Algae_yield_cost_factor/AB141</f>
        <v>0.0613031126194594</v>
      </c>
      <c r="BU141" s="197" t="n">
        <f aca="false">Algae_yield_cost_factor/AC141</f>
        <v>0.0611710500883075</v>
      </c>
    </row>
    <row r="142" customFormat="false" ht="15" hidden="false" customHeight="false" outlineLevel="0" collapsed="false">
      <c r="A142" s="18" t="s">
        <v>712</v>
      </c>
      <c r="B142" s="18" t="s">
        <v>22</v>
      </c>
      <c r="C142" s="18" t="s">
        <v>686</v>
      </c>
      <c r="D142" s="18" t="s">
        <v>686</v>
      </c>
      <c r="E142" s="28" t="n">
        <v>5.330095</v>
      </c>
      <c r="F142" s="185" t="n">
        <f aca="false">E142/$B$2*$F$3/1000</f>
        <v>0.01305873275</v>
      </c>
      <c r="G142" s="18" t="n">
        <f aca="false">LOOKUP(RIGHT(D142,5),Ref!$C$4:$C$21,Ref!$E$4:$E$21)*$G$3</f>
        <v>4.5</v>
      </c>
      <c r="H142" s="218" t="n">
        <f aca="false">$E142</f>
        <v>5.330095</v>
      </c>
      <c r="I142" s="177" t="n">
        <f aca="false">$E142</f>
        <v>5.330095</v>
      </c>
      <c r="J142" s="177" t="n">
        <f aca="false">$E142</f>
        <v>5.330095</v>
      </c>
      <c r="K142" s="177" t="n">
        <f aca="false">$E142</f>
        <v>5.330095</v>
      </c>
      <c r="L142" s="177" t="n">
        <f aca="false">$E142</f>
        <v>5.330095</v>
      </c>
      <c r="M142" s="177" t="n">
        <f aca="false">M$3*$E142</f>
        <v>5.58287940949438</v>
      </c>
      <c r="N142" s="177" t="n">
        <f aca="false">N$3*$E142</f>
        <v>5.73442630604033</v>
      </c>
      <c r="O142" s="177" t="n">
        <f aca="false">O$3*$E142</f>
        <v>5.96545789865548</v>
      </c>
      <c r="P142" s="177" t="n">
        <f aca="false">P$3*$E142</f>
        <v>6.30244037231264</v>
      </c>
      <c r="Q142" s="177" t="n">
        <f aca="false">Q$3*$E142</f>
        <v>6.76357832533711</v>
      </c>
      <c r="R142" s="177" t="n">
        <f aca="false">R$3*$E142</f>
        <v>7.34242263105765</v>
      </c>
      <c r="S142" s="177" t="n">
        <f aca="false">S$3*$E142</f>
        <v>7.9951425</v>
      </c>
      <c r="T142" s="177" t="n">
        <f aca="false">T$3*$E142</f>
        <v>8.64786236894235</v>
      </c>
      <c r="U142" s="177" t="n">
        <f aca="false">U$3*$E142</f>
        <v>9.22670667466289</v>
      </c>
      <c r="V142" s="177" t="n">
        <f aca="false">V$3*$E142</f>
        <v>9.68784462768736</v>
      </c>
      <c r="W142" s="177" t="n">
        <f aca="false">W$3*$E142</f>
        <v>10.0248271013445</v>
      </c>
      <c r="X142" s="177" t="n">
        <f aca="false">X$3*$E142</f>
        <v>10.2558586939597</v>
      </c>
      <c r="Y142" s="177" t="n">
        <f aca="false">Y$3*$E142</f>
        <v>10.4074055905056</v>
      </c>
      <c r="Z142" s="177" t="n">
        <f aca="false">Z$3*$E142</f>
        <v>10.5039530254334</v>
      </c>
      <c r="AA142" s="177" t="n">
        <f aca="false">AA$3*$E142</f>
        <v>10.5643217922121</v>
      </c>
      <c r="AB142" s="177" t="n">
        <f aca="false">AB$3*$E142</f>
        <v>10.6016285520194</v>
      </c>
      <c r="AC142" s="177" t="n">
        <f aca="false">AC$3*$E142</f>
        <v>10.6245164687527</v>
      </c>
      <c r="AD142" s="219" t="n">
        <f aca="false">Algae_electricity_factor/H142</f>
        <v>0.00257849008385953</v>
      </c>
      <c r="AE142" s="220" t="n">
        <f aca="false">Algae_electricity_factor/I142</f>
        <v>0.00257849008385953</v>
      </c>
      <c r="AF142" s="220" t="n">
        <f aca="false">Algae_electricity_factor/J142</f>
        <v>0.00257849008385953</v>
      </c>
      <c r="AG142" s="220" t="n">
        <f aca="false">Algae_electricity_factor/K142</f>
        <v>0.00257849008385953</v>
      </c>
      <c r="AH142" s="220" t="n">
        <f aca="false">Algae_electricity_factor/L142</f>
        <v>0.00257849008385953</v>
      </c>
      <c r="AI142" s="220" t="n">
        <f aca="false">Algae_electricity_factor/M142</f>
        <v>0.00246173991868006</v>
      </c>
      <c r="AJ142" s="220" t="n">
        <f aca="false">Algae_electricity_factor/N142</f>
        <v>0.00239668213872633</v>
      </c>
      <c r="AK142" s="220" t="n">
        <f aca="false">Algae_electricity_factor/O142</f>
        <v>0.00230386289485453</v>
      </c>
      <c r="AL142" s="220" t="n">
        <f aca="false">Algae_electricity_factor/P142</f>
        <v>0.00218067864059555</v>
      </c>
      <c r="AM142" s="220" t="n">
        <f aca="false">Algae_electricity_factor/Q142</f>
        <v>0.00203200087918613</v>
      </c>
      <c r="AN142" s="220" t="n">
        <f aca="false">Algae_electricity_factor/R142</f>
        <v>0.00187180686731316</v>
      </c>
      <c r="AO142" s="220" t="n">
        <f aca="false">Algae_electricity_factor/S142</f>
        <v>0.00171899338923969</v>
      </c>
      <c r="AP142" s="220" t="n">
        <f aca="false">Algae_electricity_factor/T142</f>
        <v>0.00158924789932915</v>
      </c>
      <c r="AQ142" s="220" t="n">
        <f aca="false">Algae_electricity_factor/U142</f>
        <v>0.00148954525034052</v>
      </c>
      <c r="AR142" s="220" t="n">
        <f aca="false">Algae_electricity_factor/V142</f>
        <v>0.00141864342706847</v>
      </c>
      <c r="AS142" s="220" t="n">
        <f aca="false">Algae_electricity_factor/W142</f>
        <v>0.00137095602393841</v>
      </c>
      <c r="AT142" s="220" t="n">
        <f aca="false">Algae_electricity_factor/X142</f>
        <v>0.00134007278314236</v>
      </c>
      <c r="AU142" s="220" t="n">
        <f aca="false">Algae_electricity_factor/Y142</f>
        <v>0.00132055938283669</v>
      </c>
      <c r="AV142" s="220" t="n">
        <f aca="false">Algae_electricity_factor/Z142</f>
        <v>0.00130842141717996</v>
      </c>
      <c r="AW142" s="220" t="n">
        <f aca="false">Algae_electricity_factor/AA142</f>
        <v>0.00130094457304972</v>
      </c>
      <c r="AX142" s="220" t="n">
        <f aca="false">Algae_electricity_factor/AB142</f>
        <v>0.00129636659463148</v>
      </c>
      <c r="AY142" s="220" t="n">
        <f aca="false">Algae_electricity_factor/AC142</f>
        <v>0.00129357389053421</v>
      </c>
      <c r="AZ142" s="221" t="n">
        <f aca="false">Algae_yield_cost_factor/H142</f>
        <v>0.142744663891773</v>
      </c>
      <c r="BA142" s="197" t="n">
        <f aca="false">Algae_yield_cost_factor/I142</f>
        <v>0.142744663891773</v>
      </c>
      <c r="BB142" s="197" t="n">
        <f aca="false">Algae_yield_cost_factor/J142</f>
        <v>0.142744663891773</v>
      </c>
      <c r="BC142" s="197" t="n">
        <f aca="false">Algae_yield_cost_factor/K142</f>
        <v>0.142744663891773</v>
      </c>
      <c r="BD142" s="197" t="n">
        <f aca="false">Algae_yield_cost_factor/L142</f>
        <v>0.142744663891773</v>
      </c>
      <c r="BE142" s="197" t="n">
        <f aca="false">Algae_yield_cost_factor/M142</f>
        <v>0.1362813995216</v>
      </c>
      <c r="BF142" s="197" t="n">
        <f aca="false">Algae_yield_cost_factor/N142</f>
        <v>0.132679814628499</v>
      </c>
      <c r="BG142" s="197" t="n">
        <f aca="false">Algae_yield_cost_factor/O142</f>
        <v>0.127541360983823</v>
      </c>
      <c r="BH142" s="197" t="n">
        <f aca="false">Algae_yield_cost_factor/P142</f>
        <v>0.12072190680751</v>
      </c>
      <c r="BI142" s="197" t="n">
        <f aca="false">Algae_yield_cost_factor/Q142</f>
        <v>0.112491137485023</v>
      </c>
      <c r="BJ142" s="197" t="n">
        <f aca="false">Algae_yield_cost_factor/R142</f>
        <v>0.1036228309806</v>
      </c>
      <c r="BK142" s="197" t="n">
        <f aca="false">Algae_yield_cost_factor/S142</f>
        <v>0.0951631092611817</v>
      </c>
      <c r="BL142" s="197" t="n">
        <f aca="false">Algae_yield_cost_factor/T142</f>
        <v>0.0879804264714808</v>
      </c>
      <c r="BM142" s="197" t="n">
        <f aca="false">Algae_yield_cost_factor/U142</f>
        <v>0.0824609089801823</v>
      </c>
      <c r="BN142" s="197" t="n">
        <f aca="false">Algae_yield_cost_factor/V142</f>
        <v>0.0785357990890738</v>
      </c>
      <c r="BO142" s="197" t="n">
        <f aca="false">Algae_yield_cost_factor/W142</f>
        <v>0.0758958345709697</v>
      </c>
      <c r="BP142" s="197" t="n">
        <f aca="false">Algae_yield_cost_factor/X142</f>
        <v>0.0741861449138653</v>
      </c>
      <c r="BQ142" s="197" t="n">
        <f aca="false">Algae_yield_cost_factor/Y142</f>
        <v>0.0731058872136504</v>
      </c>
      <c r="BR142" s="197" t="n">
        <f aca="false">Algae_yield_cost_factor/Z142</f>
        <v>0.0724339320105469</v>
      </c>
      <c r="BS142" s="197" t="n">
        <f aca="false">Algae_yield_cost_factor/AA142</f>
        <v>0.0720200155060689</v>
      </c>
      <c r="BT142" s="197" t="n">
        <f aca="false">Algae_yield_cost_factor/AB142</f>
        <v>0.0717665795922734</v>
      </c>
      <c r="BU142" s="197" t="n">
        <f aca="false">Algae_yield_cost_factor/AC142</f>
        <v>0.071611976086055</v>
      </c>
    </row>
    <row r="143" customFormat="false" ht="15" hidden="false" customHeight="false" outlineLevel="0" collapsed="false">
      <c r="A143" s="18" t="s">
        <v>713</v>
      </c>
      <c r="B143" s="18" t="s">
        <v>22</v>
      </c>
      <c r="C143" s="18" t="s">
        <v>690</v>
      </c>
      <c r="D143" s="18" t="s">
        <v>690</v>
      </c>
      <c r="E143" s="28" t="n">
        <v>6.9277</v>
      </c>
      <c r="F143" s="185" t="n">
        <f aca="false">E143/$B$2*$F$3/1000</f>
        <v>0.016972865</v>
      </c>
      <c r="G143" s="18" t="n">
        <f aca="false">LOOKUP(RIGHT(D143,5),Ref!$C$4:$C$21,Ref!$E$4:$E$21)*$G$3</f>
        <v>1.5</v>
      </c>
      <c r="H143" s="218" t="n">
        <f aca="false">$E143</f>
        <v>6.9277</v>
      </c>
      <c r="I143" s="177" t="n">
        <f aca="false">$E143</f>
        <v>6.9277</v>
      </c>
      <c r="J143" s="177" t="n">
        <f aca="false">$E143</f>
        <v>6.9277</v>
      </c>
      <c r="K143" s="177" t="n">
        <f aca="false">$E143</f>
        <v>6.9277</v>
      </c>
      <c r="L143" s="177" t="n">
        <f aca="false">$E143</f>
        <v>6.9277</v>
      </c>
      <c r="M143" s="177" t="n">
        <f aca="false">M$3*$E143</f>
        <v>7.25625222161223</v>
      </c>
      <c r="N143" s="177" t="n">
        <f aca="false">N$3*$E143</f>
        <v>7.45322271373317</v>
      </c>
      <c r="O143" s="177" t="n">
        <f aca="false">O$3*$E143</f>
        <v>7.75350208289262</v>
      </c>
      <c r="P143" s="177" t="n">
        <f aca="false">P$3*$E143</f>
        <v>8.1914893012733</v>
      </c>
      <c r="Q143" s="177" t="n">
        <f aca="false">Q$3*$E143</f>
        <v>8.79084548482492</v>
      </c>
      <c r="R143" s="177" t="n">
        <f aca="false">R$3*$E143</f>
        <v>9.54318849123291</v>
      </c>
      <c r="S143" s="177" t="n">
        <f aca="false">S$3*$E143</f>
        <v>10.39155</v>
      </c>
      <c r="T143" s="177" t="n">
        <f aca="false">T$3*$E143</f>
        <v>11.2399115087671</v>
      </c>
      <c r="U143" s="177" t="n">
        <f aca="false">U$3*$E143</f>
        <v>11.9922545151751</v>
      </c>
      <c r="V143" s="177" t="n">
        <f aca="false">V$3*$E143</f>
        <v>12.5916106987267</v>
      </c>
      <c r="W143" s="177" t="n">
        <f aca="false">W$3*$E143</f>
        <v>13.0295979171074</v>
      </c>
      <c r="X143" s="177" t="n">
        <f aca="false">X$3*$E143</f>
        <v>13.3298772862668</v>
      </c>
      <c r="Y143" s="177" t="n">
        <f aca="false">Y$3*$E143</f>
        <v>13.5268477783878</v>
      </c>
      <c r="Z143" s="177" t="n">
        <f aca="false">Z$3*$E143</f>
        <v>13.6523336590238</v>
      </c>
      <c r="AA143" s="177" t="n">
        <f aca="false">AA$3*$E143</f>
        <v>13.7307969332456</v>
      </c>
      <c r="AB143" s="177" t="n">
        <f aca="false">AB$3*$E143</f>
        <v>13.779285757538</v>
      </c>
      <c r="AC143" s="177" t="n">
        <f aca="false">AC$3*$E143</f>
        <v>13.8090339366518</v>
      </c>
      <c r="AD143" s="219" t="n">
        <f aca="false">Algae_electricity_factor/H143</f>
        <v>0.00198386146968392</v>
      </c>
      <c r="AE143" s="220" t="n">
        <f aca="false">Algae_electricity_factor/I143</f>
        <v>0.00198386146968392</v>
      </c>
      <c r="AF143" s="220" t="n">
        <f aca="false">Algae_electricity_factor/J143</f>
        <v>0.00198386146968392</v>
      </c>
      <c r="AG143" s="220" t="n">
        <f aca="false">Algae_electricity_factor/K143</f>
        <v>0.00198386146968392</v>
      </c>
      <c r="AH143" s="220" t="n">
        <f aca="false">Algae_electricity_factor/L143</f>
        <v>0.00198386146968392</v>
      </c>
      <c r="AI143" s="220" t="n">
        <f aca="false">Algae_electricity_factor/M143</f>
        <v>0.00189403519665358</v>
      </c>
      <c r="AJ143" s="220" t="n">
        <f aca="false">Algae_electricity_factor/N143</f>
        <v>0.00184398046742996</v>
      </c>
      <c r="AK143" s="220" t="n">
        <f aca="false">Algae_electricity_factor/O143</f>
        <v>0.00177256637795368</v>
      </c>
      <c r="AL143" s="220" t="n">
        <f aca="false">Algae_electricity_factor/P143</f>
        <v>0.0016777897886521</v>
      </c>
      <c r="AM143" s="220" t="n">
        <f aca="false">Algae_electricity_factor/Q143</f>
        <v>0.00156339877970259</v>
      </c>
      <c r="AN143" s="220" t="n">
        <f aca="false">Algae_electricity_factor/R143</f>
        <v>0.00144014729627893</v>
      </c>
      <c r="AO143" s="220" t="n">
        <f aca="false">Algae_electricity_factor/S143</f>
        <v>0.00132257431312261</v>
      </c>
      <c r="AP143" s="220" t="n">
        <f aca="false">Algae_electricity_factor/T143</f>
        <v>0.00122274958239745</v>
      </c>
      <c r="AQ143" s="220" t="n">
        <f aca="false">Algae_electricity_factor/U143</f>
        <v>0.00114603947790951</v>
      </c>
      <c r="AR143" s="220" t="n">
        <f aca="false">Algae_electricity_factor/V143</f>
        <v>0.00109148840703271</v>
      </c>
      <c r="AS143" s="220" t="n">
        <f aca="false">Algae_electricity_factor/W143</f>
        <v>0.00105479825171615</v>
      </c>
      <c r="AT143" s="220" t="n">
        <f aca="false">Algae_electricity_factor/X143</f>
        <v>0.00103103703120273</v>
      </c>
      <c r="AU143" s="220" t="n">
        <f aca="false">Algae_electricity_factor/Y143</f>
        <v>0.00101602363896545</v>
      </c>
      <c r="AV143" s="220" t="n">
        <f aca="false">Algae_electricity_factor/Z143</f>
        <v>0.00100668482376602</v>
      </c>
      <c r="AW143" s="220" t="n">
        <f aca="false">Algae_electricity_factor/AA143</f>
        <v>0.00100093222340596</v>
      </c>
      <c r="AX143" s="220" t="n">
        <f aca="false">Algae_electricity_factor/AB143</f>
        <v>0.000997409977945391</v>
      </c>
      <c r="AY143" s="220" t="n">
        <f aca="false">Algae_electricity_factor/AC143</f>
        <v>0.000995261302606485</v>
      </c>
      <c r="AZ143" s="221" t="n">
        <f aca="false">Algae_yield_cost_factor/H143</f>
        <v>0.109826149990071</v>
      </c>
      <c r="BA143" s="197" t="n">
        <f aca="false">Algae_yield_cost_factor/I143</f>
        <v>0.109826149990071</v>
      </c>
      <c r="BB143" s="197" t="n">
        <f aca="false">Algae_yield_cost_factor/J143</f>
        <v>0.109826149990071</v>
      </c>
      <c r="BC143" s="197" t="n">
        <f aca="false">Algae_yield_cost_factor/K143</f>
        <v>0.109826149990071</v>
      </c>
      <c r="BD143" s="197" t="n">
        <f aca="false">Algae_yield_cost_factor/L143</f>
        <v>0.109826149990071</v>
      </c>
      <c r="BE143" s="197" t="n">
        <f aca="false">Algae_yield_cost_factor/M143</f>
        <v>0.104853386576076</v>
      </c>
      <c r="BF143" s="197" t="n">
        <f aca="false">Algae_yield_cost_factor/N143</f>
        <v>0.102082367387775</v>
      </c>
      <c r="BG143" s="197" t="n">
        <f aca="false">Algae_yield_cost_factor/O143</f>
        <v>0.0981288985483019</v>
      </c>
      <c r="BH143" s="197" t="n">
        <f aca="false">Algae_yield_cost_factor/P143</f>
        <v>0.0928820866759786</v>
      </c>
      <c r="BI143" s="197" t="n">
        <f aca="false">Algae_yield_cost_factor/Q143</f>
        <v>0.086549424694088</v>
      </c>
      <c r="BJ143" s="197" t="n">
        <f aca="false">Algae_yield_cost_factor/R143</f>
        <v>0.0797262487254846</v>
      </c>
      <c r="BK143" s="197" t="n">
        <f aca="false">Algae_yield_cost_factor/S143</f>
        <v>0.0732174333267143</v>
      </c>
      <c r="BL143" s="197" t="n">
        <f aca="false">Algae_yield_cost_factor/T143</f>
        <v>0.0676911574163874</v>
      </c>
      <c r="BM143" s="197" t="n">
        <f aca="false">Algae_yield_cost_factor/U143</f>
        <v>0.0634445023096735</v>
      </c>
      <c r="BN143" s="197" t="n">
        <f aca="false">Algae_yield_cost_factor/V143</f>
        <v>0.0604245666015672</v>
      </c>
      <c r="BO143" s="197" t="n">
        <f aca="false">Algae_yield_cost_factor/W143</f>
        <v>0.0583934073888236</v>
      </c>
      <c r="BP143" s="197" t="n">
        <f aca="false">Algae_yield_cost_factor/X143</f>
        <v>0.0570779912632864</v>
      </c>
      <c r="BQ143" s="197" t="n">
        <f aca="false">Algae_yield_cost_factor/Y143</f>
        <v>0.0562468530548438</v>
      </c>
      <c r="BR143" s="197" t="n">
        <f aca="false">Algae_yield_cost_factor/Z143</f>
        <v>0.055729858227082</v>
      </c>
      <c r="BS143" s="197" t="n">
        <f aca="false">Algae_yield_cost_factor/AA143</f>
        <v>0.0554113954918401</v>
      </c>
      <c r="BT143" s="197" t="n">
        <f aca="false">Algae_yield_cost_factor/AB143</f>
        <v>0.0552164047305568</v>
      </c>
      <c r="BU143" s="197" t="n">
        <f aca="false">Algae_yield_cost_factor/AC143</f>
        <v>0.0550974545197398</v>
      </c>
    </row>
    <row r="144" customFormat="false" ht="15" hidden="false" customHeight="false" outlineLevel="0" collapsed="false">
      <c r="A144" s="18" t="s">
        <v>713</v>
      </c>
      <c r="B144" s="18" t="s">
        <v>22</v>
      </c>
      <c r="C144" s="18" t="s">
        <v>683</v>
      </c>
      <c r="D144" s="18" t="s">
        <v>683</v>
      </c>
      <c r="E144" s="28" t="n">
        <v>6.7508575</v>
      </c>
      <c r="F144" s="185" t="n">
        <f aca="false">E144/$B$2*$F$3/1000</f>
        <v>0.016539600875</v>
      </c>
      <c r="G144" s="18" t="n">
        <f aca="false">LOOKUP(RIGHT(D144,5),Ref!$C$4:$C$21,Ref!$E$4:$E$21)*$G$3</f>
        <v>3</v>
      </c>
      <c r="H144" s="218" t="n">
        <f aca="false">$E144</f>
        <v>6.7508575</v>
      </c>
      <c r="I144" s="177" t="n">
        <f aca="false">$E144</f>
        <v>6.7508575</v>
      </c>
      <c r="J144" s="177" t="n">
        <f aca="false">$E144</f>
        <v>6.7508575</v>
      </c>
      <c r="K144" s="177" t="n">
        <f aca="false">$E144</f>
        <v>6.7508575</v>
      </c>
      <c r="L144" s="177" t="n">
        <f aca="false">$E144</f>
        <v>6.7508575</v>
      </c>
      <c r="M144" s="177" t="n">
        <f aca="false">M$3*$E144</f>
        <v>7.07102281163483</v>
      </c>
      <c r="N144" s="177" t="n">
        <f aca="false">N$3*$E144</f>
        <v>7.26296526353276</v>
      </c>
      <c r="O144" s="177" t="n">
        <f aca="false">O$3*$E144</f>
        <v>7.55557944015493</v>
      </c>
      <c r="P144" s="177" t="n">
        <f aca="false">P$3*$E144</f>
        <v>7.98238621557957</v>
      </c>
      <c r="Q144" s="177" t="n">
        <f aca="false">Q$3*$E144</f>
        <v>8.56644271151629</v>
      </c>
      <c r="R144" s="177" t="n">
        <f aca="false">R$3*$E144</f>
        <v>9.29958075551098</v>
      </c>
      <c r="S144" s="177" t="n">
        <f aca="false">S$3*$E144</f>
        <v>10.12628625</v>
      </c>
      <c r="T144" s="177" t="n">
        <f aca="false">T$3*$E144</f>
        <v>10.952991744489</v>
      </c>
      <c r="U144" s="177" t="n">
        <f aca="false">U$3*$E144</f>
        <v>11.6861297884837</v>
      </c>
      <c r="V144" s="177" t="n">
        <f aca="false">V$3*$E144</f>
        <v>12.2701862844204</v>
      </c>
      <c r="W144" s="177" t="n">
        <f aca="false">W$3*$E144</f>
        <v>12.6969930598451</v>
      </c>
      <c r="X144" s="177" t="n">
        <f aca="false">X$3*$E144</f>
        <v>12.9896072364672</v>
      </c>
      <c r="Y144" s="177" t="n">
        <f aca="false">Y$3*$E144</f>
        <v>13.1815496883652</v>
      </c>
      <c r="Z144" s="177" t="n">
        <f aca="false">Z$3*$E144</f>
        <v>13.3038323071905</v>
      </c>
      <c r="AA144" s="177" t="n">
        <f aca="false">AA$3*$E144</f>
        <v>13.3802926595808</v>
      </c>
      <c r="AB144" s="177" t="n">
        <f aca="false">AB$3*$E144</f>
        <v>13.4275437159402</v>
      </c>
      <c r="AC144" s="177" t="n">
        <f aca="false">AC$3*$E144</f>
        <v>13.4565325171414</v>
      </c>
      <c r="AD144" s="219" t="n">
        <f aca="false">Algae_electricity_factor/H144</f>
        <v>0.00203582983399209</v>
      </c>
      <c r="AE144" s="220" t="n">
        <f aca="false">Algae_electricity_factor/I144</f>
        <v>0.00203582983399209</v>
      </c>
      <c r="AF144" s="220" t="n">
        <f aca="false">Algae_electricity_factor/J144</f>
        <v>0.00203582983399209</v>
      </c>
      <c r="AG144" s="220" t="n">
        <f aca="false">Algae_electricity_factor/K144</f>
        <v>0.00203582983399209</v>
      </c>
      <c r="AH144" s="220" t="n">
        <f aca="false">Algae_electricity_factor/L144</f>
        <v>0.00203582983399209</v>
      </c>
      <c r="AI144" s="220" t="n">
        <f aca="false">Algae_electricity_factor/M144</f>
        <v>0.00194365051133978</v>
      </c>
      <c r="AJ144" s="220" t="n">
        <f aca="false">Algae_electricity_factor/N144</f>
        <v>0.00189228457039932</v>
      </c>
      <c r="AK144" s="220" t="n">
        <f aca="false">Algae_electricity_factor/O144</f>
        <v>0.00181899974878001</v>
      </c>
      <c r="AL144" s="220" t="n">
        <f aca="false">Algae_electricity_factor/P144</f>
        <v>0.00172174043354421</v>
      </c>
      <c r="AM144" s="220" t="n">
        <f aca="false">Algae_electricity_factor/Q144</f>
        <v>0.00160435288793247</v>
      </c>
      <c r="AN144" s="220" t="n">
        <f aca="false">Algae_electricity_factor/R144</f>
        <v>0.00147787276274629</v>
      </c>
      <c r="AO144" s="220" t="n">
        <f aca="false">Algae_electricity_factor/S144</f>
        <v>0.00135721988932806</v>
      </c>
      <c r="AP144" s="220" t="n">
        <f aca="false">Algae_electricity_factor/T144</f>
        <v>0.00125478019377165</v>
      </c>
      <c r="AQ144" s="220" t="n">
        <f aca="false">Algae_electricity_factor/U144</f>
        <v>0.00117606062505596</v>
      </c>
      <c r="AR144" s="220" t="n">
        <f aca="false">Algae_electricity_factor/V144</f>
        <v>0.0011200805582699</v>
      </c>
      <c r="AS144" s="220" t="n">
        <f aca="false">Algae_electricity_factor/W144</f>
        <v>0.00108242928374862</v>
      </c>
      <c r="AT144" s="220" t="n">
        <f aca="false">Algae_electricity_factor/X144</f>
        <v>0.00105804562473184</v>
      </c>
      <c r="AU144" s="220" t="n">
        <f aca="false">Algae_electricity_factor/Y144</f>
        <v>0.00104263894826116</v>
      </c>
      <c r="AV144" s="220" t="n">
        <f aca="false">Algae_electricity_factor/Z144</f>
        <v>0.00103305549755773</v>
      </c>
      <c r="AW144" s="220" t="n">
        <f aca="false">Algae_electricity_factor/AA144</f>
        <v>0.00102715220460356</v>
      </c>
      <c r="AX144" s="220" t="n">
        <f aca="false">Algae_electricity_factor/AB144</f>
        <v>0.00102353769194688</v>
      </c>
      <c r="AY144" s="220" t="n">
        <f aca="false">Algae_electricity_factor/AC144</f>
        <v>0.00102133273085189</v>
      </c>
      <c r="AZ144" s="221" t="n">
        <f aca="false">Algae_yield_cost_factor/H144</f>
        <v>0.112703107610584</v>
      </c>
      <c r="BA144" s="197" t="n">
        <f aca="false">Algae_yield_cost_factor/I144</f>
        <v>0.112703107610584</v>
      </c>
      <c r="BB144" s="197" t="n">
        <f aca="false">Algae_yield_cost_factor/J144</f>
        <v>0.112703107610584</v>
      </c>
      <c r="BC144" s="197" t="n">
        <f aca="false">Algae_yield_cost_factor/K144</f>
        <v>0.112703107610584</v>
      </c>
      <c r="BD144" s="197" t="n">
        <f aca="false">Algae_yield_cost_factor/L144</f>
        <v>0.112703107610584</v>
      </c>
      <c r="BE144" s="197" t="n">
        <f aca="false">Algae_yield_cost_factor/M144</f>
        <v>0.107600079868829</v>
      </c>
      <c r="BF144" s="197" t="n">
        <f aca="false">Algae_yield_cost_factor/N144</f>
        <v>0.10475647227812</v>
      </c>
      <c r="BG144" s="197" t="n">
        <f aca="false">Algae_yield_cost_factor/O144</f>
        <v>0.100699440104175</v>
      </c>
      <c r="BH144" s="197" t="n">
        <f aca="false">Algae_yield_cost_factor/P144</f>
        <v>0.0953151850509624</v>
      </c>
      <c r="BI144" s="197" t="n">
        <f aca="false">Algae_yield_cost_factor/Q144</f>
        <v>0.0888166354353108</v>
      </c>
      <c r="BJ144" s="197" t="n">
        <f aca="false">Algae_yield_cost_factor/R144</f>
        <v>0.0818147225438457</v>
      </c>
      <c r="BK144" s="197" t="n">
        <f aca="false">Algae_yield_cost_factor/S144</f>
        <v>0.0751354050737226</v>
      </c>
      <c r="BL144" s="197" t="n">
        <f aca="false">Algae_yield_cost_factor/T144</f>
        <v>0.0694643652652285</v>
      </c>
      <c r="BM144" s="197" t="n">
        <f aca="false">Algae_yield_cost_factor/U144</f>
        <v>0.0651064666452706</v>
      </c>
      <c r="BN144" s="197" t="n">
        <f aca="false">Algae_yield_cost_factor/V144</f>
        <v>0.0620074220268576</v>
      </c>
      <c r="BO144" s="197" t="n">
        <f aca="false">Algae_yield_cost_factor/W144</f>
        <v>0.0599230554588884</v>
      </c>
      <c r="BP144" s="197" t="n">
        <f aca="false">Algae_yield_cost_factor/X144</f>
        <v>0.0585731812698859</v>
      </c>
      <c r="BQ144" s="197" t="n">
        <f aca="false">Algae_yield_cost_factor/Y144</f>
        <v>0.0577202709297362</v>
      </c>
      <c r="BR144" s="197" t="n">
        <f aca="false">Algae_yield_cost_factor/Z144</f>
        <v>0.0571897331323844</v>
      </c>
      <c r="BS144" s="197" t="n">
        <f aca="false">Algae_yield_cost_factor/AA144</f>
        <v>0.056862928087109</v>
      </c>
      <c r="BT144" s="197" t="n">
        <f aca="false">Algae_yield_cost_factor/AB144</f>
        <v>0.056662829433428</v>
      </c>
      <c r="BU144" s="197" t="n">
        <f aca="false">Algae_yield_cost_factor/AC144</f>
        <v>0.0565407632550978</v>
      </c>
    </row>
    <row r="145" customFormat="false" ht="15" hidden="false" customHeight="false" outlineLevel="0" collapsed="false">
      <c r="A145" s="18" t="s">
        <v>713</v>
      </c>
      <c r="B145" s="18" t="s">
        <v>22</v>
      </c>
      <c r="C145" s="18" t="s">
        <v>684</v>
      </c>
      <c r="D145" s="18" t="s">
        <v>684</v>
      </c>
      <c r="E145" s="28" t="n">
        <v>5.579755</v>
      </c>
      <c r="F145" s="185" t="n">
        <f aca="false">E145/$B$2*$F$3/1000</f>
        <v>0.01367039975</v>
      </c>
      <c r="G145" s="18" t="n">
        <f aca="false">LOOKUP(RIGHT(D145,5),Ref!$C$4:$C$21,Ref!$E$4:$E$21)*$G$3</f>
        <v>3.5</v>
      </c>
      <c r="H145" s="218" t="n">
        <f aca="false">$E145</f>
        <v>5.579755</v>
      </c>
      <c r="I145" s="177" t="n">
        <f aca="false">$E145</f>
        <v>5.579755</v>
      </c>
      <c r="J145" s="177" t="n">
        <f aca="false">$E145</f>
        <v>5.579755</v>
      </c>
      <c r="K145" s="177" t="n">
        <f aca="false">$E145</f>
        <v>5.579755</v>
      </c>
      <c r="L145" s="177" t="n">
        <f aca="false">$E145</f>
        <v>5.579755</v>
      </c>
      <c r="M145" s="177" t="n">
        <f aca="false">M$3*$E145</f>
        <v>5.84437975299189</v>
      </c>
      <c r="N145" s="177" t="n">
        <f aca="false">N$3*$E145</f>
        <v>6.00302505926443</v>
      </c>
      <c r="O145" s="177" t="n">
        <f aca="false">O$3*$E145</f>
        <v>6.24487810016752</v>
      </c>
      <c r="P145" s="177" t="n">
        <f aca="false">P$3*$E145</f>
        <v>6.59764472858614</v>
      </c>
      <c r="Q145" s="177" t="n">
        <f aca="false">Q$3*$E145</f>
        <v>7.08038224059634</v>
      </c>
      <c r="R145" s="177" t="n">
        <f aca="false">R$3*$E145</f>
        <v>7.6863394344298</v>
      </c>
      <c r="S145" s="177" t="n">
        <f aca="false">S$3*$E145</f>
        <v>8.3696325</v>
      </c>
      <c r="T145" s="177" t="n">
        <f aca="false">T$3*$E145</f>
        <v>9.0529255655702</v>
      </c>
      <c r="U145" s="177" t="n">
        <f aca="false">U$3*$E145</f>
        <v>9.65888275940366</v>
      </c>
      <c r="V145" s="177" t="n">
        <f aca="false">V$3*$E145</f>
        <v>10.1416202714139</v>
      </c>
      <c r="W145" s="177" t="n">
        <f aca="false">W$3*$E145</f>
        <v>10.4943868998325</v>
      </c>
      <c r="X145" s="177" t="n">
        <f aca="false">X$3*$E145</f>
        <v>10.7362399407356</v>
      </c>
      <c r="Y145" s="177" t="n">
        <f aca="false">Y$3*$E145</f>
        <v>10.8948852470081</v>
      </c>
      <c r="Z145" s="177" t="n">
        <f aca="false">Z$3*$E145</f>
        <v>10.995954933904</v>
      </c>
      <c r="AA145" s="177" t="n">
        <f aca="false">AA$3*$E145</f>
        <v>11.059151355033</v>
      </c>
      <c r="AB145" s="177" t="n">
        <f aca="false">AB$3*$E145</f>
        <v>11.0982055519222</v>
      </c>
      <c r="AC145" s="177" t="n">
        <f aca="false">AC$3*$E145</f>
        <v>11.122165531591</v>
      </c>
      <c r="AD145" s="219" t="n">
        <f aca="false">Algae_electricity_factor/H145</f>
        <v>0.00246311838127826</v>
      </c>
      <c r="AE145" s="220" t="n">
        <f aca="false">Algae_electricity_factor/I145</f>
        <v>0.00246311838127826</v>
      </c>
      <c r="AF145" s="220" t="n">
        <f aca="false">Algae_electricity_factor/J145</f>
        <v>0.00246311838127826</v>
      </c>
      <c r="AG145" s="220" t="n">
        <f aca="false">Algae_electricity_factor/K145</f>
        <v>0.00246311838127826</v>
      </c>
      <c r="AH145" s="220" t="n">
        <f aca="false">Algae_electricity_factor/L145</f>
        <v>0.00246311838127826</v>
      </c>
      <c r="AI145" s="220" t="n">
        <f aca="false">Algae_electricity_factor/M145</f>
        <v>0.0023515920738199</v>
      </c>
      <c r="AJ145" s="220" t="n">
        <f aca="false">Algae_electricity_factor/N145</f>
        <v>0.00228944523266963</v>
      </c>
      <c r="AK145" s="220" t="n">
        <f aca="false">Algae_electricity_factor/O145</f>
        <v>0.00220077908376796</v>
      </c>
      <c r="AL145" s="220" t="n">
        <f aca="false">Algae_electricity_factor/P145</f>
        <v>0.00208310657346875</v>
      </c>
      <c r="AM145" s="220" t="n">
        <f aca="false">Algae_electricity_factor/Q145</f>
        <v>0.00194108123495487</v>
      </c>
      <c r="AN145" s="220" t="n">
        <f aca="false">Algae_electricity_factor/R145</f>
        <v>0.00178805492793707</v>
      </c>
      <c r="AO145" s="220" t="n">
        <f aca="false">Algae_electricity_factor/S145</f>
        <v>0.00164207892085217</v>
      </c>
      <c r="AP145" s="220" t="n">
        <f aca="false">Algae_electricity_factor/T145</f>
        <v>0.00151813875017359</v>
      </c>
      <c r="AQ145" s="220" t="n">
        <f aca="false">Algae_electricity_factor/U145</f>
        <v>0.0014228971865456</v>
      </c>
      <c r="AR145" s="220" t="n">
        <f aca="false">Algae_electricity_factor/V145</f>
        <v>0.0013551677873671</v>
      </c>
      <c r="AS145" s="220" t="n">
        <f aca="false">Algae_electricity_factor/W145</f>
        <v>0.00130961410463613</v>
      </c>
      <c r="AT145" s="220" t="n">
        <f aca="false">Algae_electricity_factor/X145</f>
        <v>0.00128011270047935</v>
      </c>
      <c r="AU145" s="220" t="n">
        <f aca="false">Algae_electricity_factor/Y145</f>
        <v>0.00126147240580652</v>
      </c>
      <c r="AV145" s="220" t="n">
        <f aca="false">Algae_electricity_factor/Z145</f>
        <v>0.00124987754007189</v>
      </c>
      <c r="AW145" s="220" t="n">
        <f aca="false">Algae_electricity_factor/AA145</f>
        <v>0.00124273523910807</v>
      </c>
      <c r="AX145" s="220" t="n">
        <f aca="false">Algae_electricity_factor/AB145</f>
        <v>0.00123836209729859</v>
      </c>
      <c r="AY145" s="220" t="n">
        <f aca="false">Algae_electricity_factor/AC145</f>
        <v>0.0012356943496743</v>
      </c>
      <c r="AZ145" s="221" t="n">
        <f aca="false">Algae_yield_cost_factor/H145</f>
        <v>0.136357710918529</v>
      </c>
      <c r="BA145" s="197" t="n">
        <f aca="false">Algae_yield_cost_factor/I145</f>
        <v>0.136357710918529</v>
      </c>
      <c r="BB145" s="197" t="n">
        <f aca="false">Algae_yield_cost_factor/J145</f>
        <v>0.136357710918529</v>
      </c>
      <c r="BC145" s="197" t="n">
        <f aca="false">Algae_yield_cost_factor/K145</f>
        <v>0.136357710918529</v>
      </c>
      <c r="BD145" s="197" t="n">
        <f aca="false">Algae_yield_cost_factor/L145</f>
        <v>0.136357710918529</v>
      </c>
      <c r="BE145" s="197" t="n">
        <f aca="false">Algae_yield_cost_factor/M145</f>
        <v>0.130183638203305</v>
      </c>
      <c r="BF145" s="197" t="n">
        <f aca="false">Algae_yield_cost_factor/N145</f>
        <v>0.126743202264667</v>
      </c>
      <c r="BG145" s="197" t="n">
        <f aca="false">Algae_yield_cost_factor/O145</f>
        <v>0.121834663076259</v>
      </c>
      <c r="BH145" s="197" t="n">
        <f aca="false">Algae_yield_cost_factor/P145</f>
        <v>0.115320337875978</v>
      </c>
      <c r="BI145" s="197" t="n">
        <f aca="false">Algae_yield_cost_factor/Q145</f>
        <v>0.107457845273356</v>
      </c>
      <c r="BJ145" s="197" t="n">
        <f aca="false">Algae_yield_cost_factor/R145</f>
        <v>0.098986341388742</v>
      </c>
      <c r="BK145" s="197" t="n">
        <f aca="false">Algae_yield_cost_factor/S145</f>
        <v>0.0909051406123528</v>
      </c>
      <c r="BL145" s="197" t="n">
        <f aca="false">Algae_yield_cost_factor/T145</f>
        <v>0.0840438390634548</v>
      </c>
      <c r="BM145" s="197" t="n">
        <f aca="false">Algae_yield_cost_factor/U145</f>
        <v>0.078771286311088</v>
      </c>
      <c r="BN145" s="197" t="n">
        <f aca="false">Algae_yield_cost_factor/V145</f>
        <v>0.075021801144616</v>
      </c>
      <c r="BO145" s="197" t="n">
        <f aca="false">Algae_yield_cost_factor/W145</f>
        <v>0.0724999589350344</v>
      </c>
      <c r="BP145" s="197" t="n">
        <f aca="false">Algae_yield_cost_factor/X145</f>
        <v>0.0708667674610568</v>
      </c>
      <c r="BQ145" s="197" t="n">
        <f aca="false">Algae_yield_cost_factor/Y145</f>
        <v>0.069834844703404</v>
      </c>
      <c r="BR145" s="197" t="n">
        <f aca="false">Algae_yield_cost_factor/Z145</f>
        <v>0.0691929553967434</v>
      </c>
      <c r="BS145" s="197" t="n">
        <f aca="false">Algae_yield_cost_factor/AA145</f>
        <v>0.0687975591309691</v>
      </c>
      <c r="BT145" s="197" t="n">
        <f aca="false">Algae_yield_cost_factor/AB145</f>
        <v>0.0685554629283685</v>
      </c>
      <c r="BU145" s="197" t="n">
        <f aca="false">Algae_yield_cost_factor/AC145</f>
        <v>0.068407776985979</v>
      </c>
    </row>
    <row r="146" customFormat="false" ht="15" hidden="false" customHeight="false" outlineLevel="0" collapsed="false">
      <c r="A146" s="18" t="s">
        <v>713</v>
      </c>
      <c r="B146" s="18" t="s">
        <v>22</v>
      </c>
      <c r="C146" s="18" t="s">
        <v>685</v>
      </c>
      <c r="D146" s="18" t="s">
        <v>685</v>
      </c>
      <c r="E146" s="28" t="n">
        <v>5.636695</v>
      </c>
      <c r="F146" s="185" t="n">
        <f aca="false">E146/$B$2*$F$3/1000</f>
        <v>0.01380990275</v>
      </c>
      <c r="G146" s="18" t="n">
        <f aca="false">LOOKUP(RIGHT(D146,5),Ref!$C$4:$C$21,Ref!$E$4:$E$21)*$G$3</f>
        <v>4</v>
      </c>
      <c r="H146" s="218" t="n">
        <f aca="false">$E146</f>
        <v>5.636695</v>
      </c>
      <c r="I146" s="177" t="n">
        <f aca="false">$E146</f>
        <v>5.636695</v>
      </c>
      <c r="J146" s="177" t="n">
        <f aca="false">$E146</f>
        <v>5.636695</v>
      </c>
      <c r="K146" s="177" t="n">
        <f aca="false">$E146</f>
        <v>5.636695</v>
      </c>
      <c r="L146" s="177" t="n">
        <f aca="false">$E146</f>
        <v>5.636695</v>
      </c>
      <c r="M146" s="177" t="n">
        <f aca="false">M$3*$E146</f>
        <v>5.90402018221062</v>
      </c>
      <c r="N146" s="177" t="n">
        <f aca="false">N$3*$E146</f>
        <v>6.06428442403484</v>
      </c>
      <c r="O146" s="177" t="n">
        <f aca="false">O$3*$E146</f>
        <v>6.30860551454746</v>
      </c>
      <c r="P146" s="177" t="n">
        <f aca="false">P$3*$E146</f>
        <v>6.66497203791167</v>
      </c>
      <c r="Q146" s="177" t="n">
        <f aca="false">Q$3*$E146</f>
        <v>7.15263576512915</v>
      </c>
      <c r="R146" s="177" t="n">
        <f aca="false">R$3*$E146</f>
        <v>7.76477660011116</v>
      </c>
      <c r="S146" s="177" t="n">
        <f aca="false">S$3*$E146</f>
        <v>8.4550425</v>
      </c>
      <c r="T146" s="177" t="n">
        <f aca="false">T$3*$E146</f>
        <v>9.14530839988884</v>
      </c>
      <c r="U146" s="177" t="n">
        <f aca="false">U$3*$E146</f>
        <v>9.75744923487085</v>
      </c>
      <c r="V146" s="177" t="n">
        <f aca="false">V$3*$E146</f>
        <v>10.2451129620883</v>
      </c>
      <c r="W146" s="177" t="n">
        <f aca="false">W$3*$E146</f>
        <v>10.6014794854525</v>
      </c>
      <c r="X146" s="177" t="n">
        <f aca="false">X$3*$E146</f>
        <v>10.8458005759652</v>
      </c>
      <c r="Y146" s="177" t="n">
        <f aca="false">Y$3*$E146</f>
        <v>11.0060648177894</v>
      </c>
      <c r="Z146" s="177" t="n">
        <f aca="false">Z$3*$E146</f>
        <v>11.108165895485</v>
      </c>
      <c r="AA146" s="177" t="n">
        <f aca="false">AA$3*$E146</f>
        <v>11.1720072202377</v>
      </c>
      <c r="AB146" s="177" t="n">
        <f aca="false">AB$3*$E146</f>
        <v>11.2114599554089</v>
      </c>
      <c r="AC146" s="177" t="n">
        <f aca="false">AC$3*$E146</f>
        <v>11.2356644406593</v>
      </c>
      <c r="AD146" s="219" t="n">
        <f aca="false">Algae_electricity_factor/H146</f>
        <v>0.00243823678654411</v>
      </c>
      <c r="AE146" s="220" t="n">
        <f aca="false">Algae_electricity_factor/I146</f>
        <v>0.00243823678654411</v>
      </c>
      <c r="AF146" s="220" t="n">
        <f aca="false">Algae_electricity_factor/J146</f>
        <v>0.00243823678654411</v>
      </c>
      <c r="AG146" s="220" t="n">
        <f aca="false">Algae_electricity_factor/K146</f>
        <v>0.00243823678654411</v>
      </c>
      <c r="AH146" s="220" t="n">
        <f aca="false">Algae_electricity_factor/L146</f>
        <v>0.00243823678654411</v>
      </c>
      <c r="AI146" s="220" t="n">
        <f aca="false">Algae_electricity_factor/M146</f>
        <v>0.00232783708039143</v>
      </c>
      <c r="AJ146" s="220" t="n">
        <f aca="false">Algae_electricity_factor/N146</f>
        <v>0.00226631802576058</v>
      </c>
      <c r="AK146" s="220" t="n">
        <f aca="false">Algae_electricity_factor/O146</f>
        <v>0.00217854755251964</v>
      </c>
      <c r="AL146" s="220" t="n">
        <f aca="false">Algae_electricity_factor/P146</f>
        <v>0.00206206373040322</v>
      </c>
      <c r="AM146" s="220" t="n">
        <f aca="false">Algae_electricity_factor/Q146</f>
        <v>0.00192147308416468</v>
      </c>
      <c r="AN146" s="220" t="n">
        <f aca="false">Algae_electricity_factor/R146</f>
        <v>0.00176999259751176</v>
      </c>
      <c r="AO146" s="220" t="n">
        <f aca="false">Algae_electricity_factor/S146</f>
        <v>0.00162549119102941</v>
      </c>
      <c r="AP146" s="220" t="n">
        <f aca="false">Algae_electricity_factor/T146</f>
        <v>0.00150280302233398</v>
      </c>
      <c r="AQ146" s="220" t="n">
        <f aca="false">Algae_electricity_factor/U146</f>
        <v>0.00140852355699816</v>
      </c>
      <c r="AR146" s="220" t="n">
        <f aca="false">Algae_electricity_factor/V146</f>
        <v>0.00134147833746557</v>
      </c>
      <c r="AS146" s="220" t="n">
        <f aca="false">Algae_electricity_factor/W146</f>
        <v>0.00129638482273992</v>
      </c>
      <c r="AT146" s="220" t="n">
        <f aca="false">Algae_electricity_factor/X146</f>
        <v>0.0012671814318609</v>
      </c>
      <c r="AU146" s="220" t="n">
        <f aca="false">Algae_electricity_factor/Y146</f>
        <v>0.00124872943518515</v>
      </c>
      <c r="AV146" s="220" t="n">
        <f aca="false">Algae_electricity_factor/Z146</f>
        <v>0.00123725169689044</v>
      </c>
      <c r="AW146" s="220" t="n">
        <f aca="false">Algae_electricity_factor/AA146</f>
        <v>0.00123018154505246</v>
      </c>
      <c r="AX146" s="220" t="n">
        <f aca="false">Algae_electricity_factor/AB146</f>
        <v>0.00122585257925296</v>
      </c>
      <c r="AY146" s="220" t="n">
        <f aca="false">Algae_electricity_factor/AC146</f>
        <v>0.00122321178031931</v>
      </c>
      <c r="AZ146" s="221" t="n">
        <f aca="false">Algae_yield_cost_factor/H146</f>
        <v>0.134980271113874</v>
      </c>
      <c r="BA146" s="197" t="n">
        <f aca="false">Algae_yield_cost_factor/I146</f>
        <v>0.134980271113874</v>
      </c>
      <c r="BB146" s="197" t="n">
        <f aca="false">Algae_yield_cost_factor/J146</f>
        <v>0.134980271113874</v>
      </c>
      <c r="BC146" s="197" t="n">
        <f aca="false">Algae_yield_cost_factor/K146</f>
        <v>0.134980271113874</v>
      </c>
      <c r="BD146" s="197" t="n">
        <f aca="false">Algae_yield_cost_factor/L146</f>
        <v>0.134980271113874</v>
      </c>
      <c r="BE146" s="197" t="n">
        <f aca="false">Algae_yield_cost_factor/M146</f>
        <v>0.128868566807869</v>
      </c>
      <c r="BF146" s="197" t="n">
        <f aca="false">Algae_yield_cost_factor/N146</f>
        <v>0.125462884997731</v>
      </c>
      <c r="BG146" s="197" t="n">
        <f aca="false">Algae_yield_cost_factor/O146</f>
        <v>0.120603930223841</v>
      </c>
      <c r="BH146" s="197" t="n">
        <f aca="false">Algae_yield_cost_factor/P146</f>
        <v>0.114155410549121</v>
      </c>
      <c r="BI146" s="197" t="n">
        <f aca="false">Algae_yield_cost_factor/Q146</f>
        <v>0.106372342206423</v>
      </c>
      <c r="BJ146" s="197" t="n">
        <f aca="false">Algae_yield_cost_factor/R146</f>
        <v>0.0979864146091886</v>
      </c>
      <c r="BK146" s="197" t="n">
        <f aca="false">Algae_yield_cost_factor/S146</f>
        <v>0.0899868474092493</v>
      </c>
      <c r="BL146" s="197" t="n">
        <f aca="false">Algae_yield_cost_factor/T146</f>
        <v>0.0831948564244663</v>
      </c>
      <c r="BM146" s="197" t="n">
        <f aca="false">Algae_yield_cost_factor/U146</f>
        <v>0.0779755652293986</v>
      </c>
      <c r="BN146" s="197" t="n">
        <f aca="false">Algae_yield_cost_factor/V146</f>
        <v>0.0742639561029428</v>
      </c>
      <c r="BO146" s="197" t="n">
        <f aca="false">Algae_yield_cost_factor/W146</f>
        <v>0.0717675886964885</v>
      </c>
      <c r="BP146" s="197" t="n">
        <f aca="false">Algae_yield_cost_factor/X146</f>
        <v>0.0701508951743298</v>
      </c>
      <c r="BQ146" s="197" t="n">
        <f aca="false">Algae_yield_cost_factor/Y146</f>
        <v>0.069129396553839</v>
      </c>
      <c r="BR146" s="197" t="n">
        <f aca="false">Algae_yield_cost_factor/Z146</f>
        <v>0.068493991397398</v>
      </c>
      <c r="BS146" s="197" t="n">
        <f aca="false">Algae_yield_cost_factor/AA146</f>
        <v>0.0681025892919203</v>
      </c>
      <c r="BT146" s="197" t="n">
        <f aca="false">Algae_yield_cost_factor/AB146</f>
        <v>0.0678629386638586</v>
      </c>
      <c r="BU146" s="197" t="n">
        <f aca="false">Algae_yield_cost_factor/AC146</f>
        <v>0.067716744595264</v>
      </c>
    </row>
    <row r="147" customFormat="false" ht="15" hidden="false" customHeight="false" outlineLevel="0" collapsed="false">
      <c r="A147" s="18" t="s">
        <v>713</v>
      </c>
      <c r="B147" s="18" t="s">
        <v>22</v>
      </c>
      <c r="C147" s="18" t="s">
        <v>686</v>
      </c>
      <c r="D147" s="18" t="s">
        <v>686</v>
      </c>
      <c r="E147" s="28" t="n">
        <v>5.07715</v>
      </c>
      <c r="F147" s="185" t="n">
        <f aca="false">E147/$B$2*$F$3/1000</f>
        <v>0.0124390175</v>
      </c>
      <c r="G147" s="18" t="n">
        <f aca="false">LOOKUP(RIGHT(D147,5),Ref!$C$4:$C$21,Ref!$E$4:$E$21)*$G$3</f>
        <v>4.5</v>
      </c>
      <c r="H147" s="218" t="n">
        <f aca="false">$E147</f>
        <v>5.07715</v>
      </c>
      <c r="I147" s="177" t="n">
        <f aca="false">$E147</f>
        <v>5.07715</v>
      </c>
      <c r="J147" s="177" t="n">
        <f aca="false">$E147</f>
        <v>5.07715</v>
      </c>
      <c r="K147" s="177" t="n">
        <f aca="false">$E147</f>
        <v>5.07715</v>
      </c>
      <c r="L147" s="177" t="n">
        <f aca="false">$E147</f>
        <v>5.07715</v>
      </c>
      <c r="M147" s="177" t="n">
        <f aca="false">M$3*$E147</f>
        <v>5.31793827200348</v>
      </c>
      <c r="N147" s="177" t="n">
        <f aca="false">N$3*$E147</f>
        <v>5.46229335869486</v>
      </c>
      <c r="O147" s="177" t="n">
        <f aca="false">O$3*$E147</f>
        <v>5.68236111554459</v>
      </c>
      <c r="P147" s="177" t="n">
        <f aca="false">P$3*$E147</f>
        <v>6.00335174819344</v>
      </c>
      <c r="Q147" s="177" t="n">
        <f aca="false">Q$3*$E147</f>
        <v>6.44260593750867</v>
      </c>
      <c r="R147" s="177" t="n">
        <f aca="false">R$3*$E147</f>
        <v>6.9939806065885</v>
      </c>
      <c r="S147" s="177" t="n">
        <f aca="false">S$3*$E147</f>
        <v>7.615725</v>
      </c>
      <c r="T147" s="177" t="n">
        <f aca="false">T$3*$E147</f>
        <v>8.23746939341149</v>
      </c>
      <c r="U147" s="177" t="n">
        <f aca="false">U$3*$E147</f>
        <v>8.78884406249133</v>
      </c>
      <c r="V147" s="177" t="n">
        <f aca="false">V$3*$E147</f>
        <v>9.22809825180656</v>
      </c>
      <c r="W147" s="177" t="n">
        <f aca="false">W$3*$E147</f>
        <v>9.5490888844554</v>
      </c>
      <c r="X147" s="177" t="n">
        <f aca="false">X$3*$E147</f>
        <v>9.76915664130514</v>
      </c>
      <c r="Y147" s="177" t="n">
        <f aca="false">Y$3*$E147</f>
        <v>9.91351172799652</v>
      </c>
      <c r="Z147" s="177" t="n">
        <f aca="false">Z$3*$E147</f>
        <v>10.0054774076408</v>
      </c>
      <c r="AA147" s="177" t="n">
        <f aca="false">AA$3*$E147</f>
        <v>10.062981314091</v>
      </c>
      <c r="AB147" s="177" t="n">
        <f aca="false">AB$3*$E147</f>
        <v>10.0985176442231</v>
      </c>
      <c r="AC147" s="177" t="n">
        <f aca="false">AC$3*$E147</f>
        <v>10.1203193919298</v>
      </c>
      <c r="AD147" s="219" t="n">
        <f aca="false">Algae_electricity_factor/H147</f>
        <v>0.0027069511642416</v>
      </c>
      <c r="AE147" s="220" t="n">
        <f aca="false">Algae_electricity_factor/I147</f>
        <v>0.0027069511642416</v>
      </c>
      <c r="AF147" s="220" t="n">
        <f aca="false">Algae_electricity_factor/J147</f>
        <v>0.0027069511642416</v>
      </c>
      <c r="AG147" s="220" t="n">
        <f aca="false">Algae_electricity_factor/K147</f>
        <v>0.0027069511642416</v>
      </c>
      <c r="AH147" s="220" t="n">
        <f aca="false">Algae_electricity_factor/L147</f>
        <v>0.0027069511642416</v>
      </c>
      <c r="AI147" s="220" t="n">
        <f aca="false">Algae_electricity_factor/M147</f>
        <v>0.00258438447393852</v>
      </c>
      <c r="AJ147" s="220" t="n">
        <f aca="false">Algae_electricity_factor/N147</f>
        <v>0.00251608549761471</v>
      </c>
      <c r="AK147" s="220" t="n">
        <f aca="false">Algae_electricity_factor/O147</f>
        <v>0.00241864197365642</v>
      </c>
      <c r="AL147" s="220" t="n">
        <f aca="false">Algae_electricity_factor/P147</f>
        <v>0.00228932064619819</v>
      </c>
      <c r="AM147" s="220" t="n">
        <f aca="false">Algae_electricity_factor/Q147</f>
        <v>0.00213323571809886</v>
      </c>
      <c r="AN147" s="220" t="n">
        <f aca="false">Algae_electricity_factor/R147</f>
        <v>0.00196506079679181</v>
      </c>
      <c r="AO147" s="220" t="n">
        <f aca="false">Algae_electricity_factor/S147</f>
        <v>0.0018046341094944</v>
      </c>
      <c r="AP147" s="220" t="n">
        <f aca="false">Algae_electricity_factor/T147</f>
        <v>0.00166842466383204</v>
      </c>
      <c r="AQ147" s="220" t="n">
        <f aca="false">Algae_electricity_factor/U147</f>
        <v>0.00156375480163354</v>
      </c>
      <c r="AR147" s="220" t="n">
        <f aca="false">Algae_electricity_factor/V147</f>
        <v>0.00148932063015678</v>
      </c>
      <c r="AS147" s="220" t="n">
        <f aca="false">Algae_electricity_factor/W147</f>
        <v>0.00143925742757531</v>
      </c>
      <c r="AT147" s="220" t="n">
        <f aca="false">Algae_electricity_factor/X147</f>
        <v>0.00140683557528597</v>
      </c>
      <c r="AU147" s="220" t="n">
        <f aca="false">Algae_electricity_factor/Y147</f>
        <v>0.00138635001204632</v>
      </c>
      <c r="AV147" s="220" t="n">
        <f aca="false">Algae_electricity_factor/Z147</f>
        <v>0.00137360732962466</v>
      </c>
      <c r="AW147" s="220" t="n">
        <f aca="false">Algae_electricity_factor/AA147</f>
        <v>0.00136575798707729</v>
      </c>
      <c r="AX147" s="220" t="n">
        <f aca="false">Algae_electricity_factor/AB147</f>
        <v>0.00136095193252362</v>
      </c>
      <c r="AY147" s="220" t="n">
        <f aca="false">Algae_electricity_factor/AC147</f>
        <v>0.0013580200951453</v>
      </c>
      <c r="AZ147" s="221" t="n">
        <f aca="false">Algae_yield_cost_factor/H147</f>
        <v>0.149856242042527</v>
      </c>
      <c r="BA147" s="197" t="n">
        <f aca="false">Algae_yield_cost_factor/I147</f>
        <v>0.149856242042527</v>
      </c>
      <c r="BB147" s="197" t="n">
        <f aca="false">Algae_yield_cost_factor/J147</f>
        <v>0.149856242042527</v>
      </c>
      <c r="BC147" s="197" t="n">
        <f aca="false">Algae_yield_cost_factor/K147</f>
        <v>0.149856242042527</v>
      </c>
      <c r="BD147" s="197" t="n">
        <f aca="false">Algae_yield_cost_factor/L147</f>
        <v>0.149856242042527</v>
      </c>
      <c r="BE147" s="197" t="n">
        <f aca="false">Algae_yield_cost_factor/M147</f>
        <v>0.143070976075767</v>
      </c>
      <c r="BF147" s="197" t="n">
        <f aca="false">Algae_yield_cost_factor/N147</f>
        <v>0.139289959239394</v>
      </c>
      <c r="BG147" s="197" t="n">
        <f aca="false">Algae_yield_cost_factor/O147</f>
        <v>0.133895506430393</v>
      </c>
      <c r="BH147" s="197" t="n">
        <f aca="false">Algae_yield_cost_factor/P147</f>
        <v>0.126736305184046</v>
      </c>
      <c r="BI147" s="197" t="n">
        <f aca="false">Algae_yield_cost_factor/Q147</f>
        <v>0.118095476685391</v>
      </c>
      <c r="BJ147" s="197" t="n">
        <f aca="false">Algae_yield_cost_factor/R147</f>
        <v>0.108785348728231</v>
      </c>
      <c r="BK147" s="197" t="n">
        <f aca="false">Algae_yield_cost_factor/S147</f>
        <v>0.0999041613616849</v>
      </c>
      <c r="BL147" s="197" t="n">
        <f aca="false">Algae_yield_cost_factor/T147</f>
        <v>0.0923636353532016</v>
      </c>
      <c r="BM147" s="197" t="n">
        <f aca="false">Algae_yield_cost_factor/U147</f>
        <v>0.0865691339926386</v>
      </c>
      <c r="BN147" s="197" t="n">
        <f aca="false">Algae_yield_cost_factor/V147</f>
        <v>0.0824484740544749</v>
      </c>
      <c r="BO147" s="197" t="n">
        <f aca="false">Algae_yield_cost_factor/W147</f>
        <v>0.0796769857828807</v>
      </c>
      <c r="BP147" s="197" t="n">
        <f aca="false">Algae_yield_cost_factor/X147</f>
        <v>0.0778821189199982</v>
      </c>
      <c r="BQ147" s="197" t="n">
        <f aca="false">Algae_yield_cost_factor/Y147</f>
        <v>0.0767480424860486</v>
      </c>
      <c r="BR147" s="197" t="n">
        <f aca="false">Algae_yield_cost_factor/Z147</f>
        <v>0.0760426102911586</v>
      </c>
      <c r="BS147" s="197" t="n">
        <f aca="false">Algae_yield_cost_factor/AA147</f>
        <v>0.0756080723533519</v>
      </c>
      <c r="BT147" s="197" t="n">
        <f aca="false">Algae_yield_cost_factor/AB147</f>
        <v>0.0753420101930962</v>
      </c>
      <c r="BU147" s="197" t="n">
        <f aca="false">Algae_yield_cost_factor/AC147</f>
        <v>0.0751797042979627</v>
      </c>
    </row>
    <row r="148" customFormat="false" ht="15" hidden="false" customHeight="false" outlineLevel="0" collapsed="false">
      <c r="A148" s="18" t="s">
        <v>713</v>
      </c>
      <c r="B148" s="18" t="s">
        <v>22</v>
      </c>
      <c r="C148" s="18" t="s">
        <v>687</v>
      </c>
      <c r="D148" s="18" t="s">
        <v>687</v>
      </c>
      <c r="E148" s="28" t="n">
        <v>5.248335</v>
      </c>
      <c r="F148" s="185" t="n">
        <f aca="false">E148/$B$2*$F$3/1000</f>
        <v>0.01285842075</v>
      </c>
      <c r="G148" s="18" t="n">
        <f aca="false">LOOKUP(RIGHT(D148,5),Ref!$C$4:$C$21,Ref!$E$4:$E$21)*$G$3</f>
        <v>4.5</v>
      </c>
      <c r="H148" s="218" t="n">
        <f aca="false">$E148</f>
        <v>5.248335</v>
      </c>
      <c r="I148" s="177" t="n">
        <f aca="false">$E148</f>
        <v>5.248335</v>
      </c>
      <c r="J148" s="177" t="n">
        <f aca="false">$E148</f>
        <v>5.248335</v>
      </c>
      <c r="K148" s="177" t="n">
        <f aca="false">$E148</f>
        <v>5.248335</v>
      </c>
      <c r="L148" s="177" t="n">
        <f aca="false">$E148</f>
        <v>5.248335</v>
      </c>
      <c r="M148" s="177" t="n">
        <f aca="false">M$3*$E148</f>
        <v>5.49724187010339</v>
      </c>
      <c r="N148" s="177" t="n">
        <f aca="false">N$3*$E148</f>
        <v>5.64646414124179</v>
      </c>
      <c r="O148" s="177" t="n">
        <f aca="false">O$3*$E148</f>
        <v>5.87395186775095</v>
      </c>
      <c r="P148" s="177" t="n">
        <f aca="false">P$3*$E148</f>
        <v>6.20576526148623</v>
      </c>
      <c r="Q148" s="177" t="n">
        <f aca="false">Q$3*$E148</f>
        <v>6.65982967472589</v>
      </c>
      <c r="R148" s="177" t="n">
        <f aca="false">R$3*$E148</f>
        <v>7.22979490597672</v>
      </c>
      <c r="S148" s="177" t="n">
        <f aca="false">S$3*$E148</f>
        <v>7.8725025</v>
      </c>
      <c r="T148" s="177" t="n">
        <f aca="false">T$3*$E148</f>
        <v>8.51521009402329</v>
      </c>
      <c r="U148" s="177" t="n">
        <f aca="false">U$3*$E148</f>
        <v>9.08517532527411</v>
      </c>
      <c r="V148" s="177" t="n">
        <f aca="false">V$3*$E148</f>
        <v>9.53923973851377</v>
      </c>
      <c r="W148" s="177" t="n">
        <f aca="false">W$3*$E148</f>
        <v>9.87105313224905</v>
      </c>
      <c r="X148" s="177" t="n">
        <f aca="false">X$3*$E148</f>
        <v>10.0985408587582</v>
      </c>
      <c r="Y148" s="177" t="n">
        <f aca="false">Y$3*$E148</f>
        <v>10.2477631298966</v>
      </c>
      <c r="Z148" s="177" t="n">
        <f aca="false">Z$3*$E148</f>
        <v>10.3428295934196</v>
      </c>
      <c r="AA148" s="177" t="n">
        <f aca="false">AA$3*$E148</f>
        <v>10.4022723447386</v>
      </c>
      <c r="AB148" s="177" t="n">
        <f aca="false">AB$3*$E148</f>
        <v>10.4390068444489</v>
      </c>
      <c r="AC148" s="177" t="n">
        <f aca="false">AC$3*$E148</f>
        <v>10.4615436762443</v>
      </c>
      <c r="AD148" s="219" t="n">
        <f aca="false">Algae_electricity_factor/H148</f>
        <v>0.00261865850856115</v>
      </c>
      <c r="AE148" s="220" t="n">
        <f aca="false">Algae_electricity_factor/I148</f>
        <v>0.00261865850856115</v>
      </c>
      <c r="AF148" s="220" t="n">
        <f aca="false">Algae_electricity_factor/J148</f>
        <v>0.00261865850856115</v>
      </c>
      <c r="AG148" s="220" t="n">
        <f aca="false">Algae_electricity_factor/K148</f>
        <v>0.00261865850856115</v>
      </c>
      <c r="AH148" s="220" t="n">
        <f aca="false">Algae_electricity_factor/L148</f>
        <v>0.00261865850856115</v>
      </c>
      <c r="AI148" s="220" t="n">
        <f aca="false">Algae_electricity_factor/M148</f>
        <v>0.00250008957733395</v>
      </c>
      <c r="AJ148" s="220" t="n">
        <f aca="false">Algae_electricity_factor/N148</f>
        <v>0.00243401830946662</v>
      </c>
      <c r="AK148" s="220" t="n">
        <f aca="false">Algae_electricity_factor/O148</f>
        <v>0.00233975310199324</v>
      </c>
      <c r="AL148" s="220" t="n">
        <f aca="false">Algae_electricity_factor/P148</f>
        <v>0.00221464984968474</v>
      </c>
      <c r="AM148" s="220" t="n">
        <f aca="false">Algae_electricity_factor/Q148</f>
        <v>0.00206365594538946</v>
      </c>
      <c r="AN148" s="220" t="n">
        <f aca="false">Algae_electricity_factor/R148</f>
        <v>0.00190096638732694</v>
      </c>
      <c r="AO148" s="220" t="n">
        <f aca="false">Algae_electricity_factor/S148</f>
        <v>0.00174577233904076</v>
      </c>
      <c r="AP148" s="220" t="n">
        <f aca="false">Algae_electricity_factor/T148</f>
        <v>0.0016140056383548</v>
      </c>
      <c r="AQ148" s="220" t="n">
        <f aca="false">Algae_electricity_factor/U148</f>
        <v>0.00151274979419449</v>
      </c>
      <c r="AR148" s="220" t="n">
        <f aca="false">Algae_electricity_factor/V148</f>
        <v>0.00144074344290151</v>
      </c>
      <c r="AS148" s="220" t="n">
        <f aca="false">Algae_electricity_factor/W148</f>
        <v>0.00139231315234526</v>
      </c>
      <c r="AT148" s="220" t="n">
        <f aca="false">Algae_electricity_factor/X148</f>
        <v>0.00136094880396605</v>
      </c>
      <c r="AU148" s="220" t="n">
        <f aca="false">Algae_electricity_factor/Y148</f>
        <v>0.00134113141856626</v>
      </c>
      <c r="AV148" s="220" t="n">
        <f aca="false">Algae_electricity_factor/Z148</f>
        <v>0.00132880436435628</v>
      </c>
      <c r="AW148" s="220" t="n">
        <f aca="false">Algae_electricity_factor/AA148</f>
        <v>0.00132121104390049</v>
      </c>
      <c r="AX148" s="220" t="n">
        <f aca="false">Algae_electricity_factor/AB148</f>
        <v>0.00131656174848067</v>
      </c>
      <c r="AY148" s="220" t="n">
        <f aca="false">Algae_electricity_factor/AC148</f>
        <v>0.00131372553887413</v>
      </c>
      <c r="AZ148" s="221" t="n">
        <f aca="false">Algae_yield_cost_factor/H148</f>
        <v>0.144968379359591</v>
      </c>
      <c r="BA148" s="197" t="n">
        <f aca="false">Algae_yield_cost_factor/I148</f>
        <v>0.144968379359591</v>
      </c>
      <c r="BB148" s="197" t="n">
        <f aca="false">Algae_yield_cost_factor/J148</f>
        <v>0.144968379359591</v>
      </c>
      <c r="BC148" s="197" t="n">
        <f aca="false">Algae_yield_cost_factor/K148</f>
        <v>0.144968379359591</v>
      </c>
      <c r="BD148" s="197" t="n">
        <f aca="false">Algae_yield_cost_factor/L148</f>
        <v>0.144968379359591</v>
      </c>
      <c r="BE148" s="197" t="n">
        <f aca="false">Algae_yield_cost_factor/M148</f>
        <v>0.138404428486955</v>
      </c>
      <c r="BF148" s="197" t="n">
        <f aca="false">Algae_yield_cost_factor/N148</f>
        <v>0.134746737118017</v>
      </c>
      <c r="BG148" s="197" t="n">
        <f aca="false">Algae_yield_cost_factor/O148</f>
        <v>0.129528235235188</v>
      </c>
      <c r="BH148" s="197" t="n">
        <f aca="false">Algae_yield_cost_factor/P148</f>
        <v>0.122602545734062</v>
      </c>
      <c r="BI148" s="197" t="n">
        <f aca="false">Algae_yield_cost_factor/Q148</f>
        <v>0.114243555232895</v>
      </c>
      <c r="BJ148" s="197" t="n">
        <f aca="false">Algae_yield_cost_factor/R148</f>
        <v>0.105237095820968</v>
      </c>
      <c r="BK148" s="197" t="n">
        <f aca="false">Algae_yield_cost_factor/S148</f>
        <v>0.0966455862397272</v>
      </c>
      <c r="BL148" s="197" t="n">
        <f aca="false">Algae_yield_cost_factor/T148</f>
        <v>0.0893510096503953</v>
      </c>
      <c r="BM148" s="197" t="n">
        <f aca="false">Algae_yield_cost_factor/U148</f>
        <v>0.0837455076039782</v>
      </c>
      <c r="BN148" s="197" t="n">
        <f aca="false">Algae_yield_cost_factor/V148</f>
        <v>0.0797592512760098</v>
      </c>
      <c r="BO148" s="197" t="n">
        <f aca="false">Algae_yield_cost_factor/W148</f>
        <v>0.0770781606676314</v>
      </c>
      <c r="BP148" s="197" t="n">
        <f aca="false">Algae_yield_cost_factor/X148</f>
        <v>0.0753418369968131</v>
      </c>
      <c r="BQ148" s="197" t="n">
        <f aca="false">Algae_yield_cost_factor/Y148</f>
        <v>0.0742447507462922</v>
      </c>
      <c r="BR148" s="197" t="n">
        <f aca="false">Algae_yield_cost_factor/Z148</f>
        <v>0.0735623276410054</v>
      </c>
      <c r="BS148" s="197" t="n">
        <f aca="false">Algae_yield_cost_factor/AA148</f>
        <v>0.0731419630318607</v>
      </c>
      <c r="BT148" s="197" t="n">
        <f aca="false">Algae_yield_cost_factor/AB148</f>
        <v>0.0728845790239912</v>
      </c>
      <c r="BU148" s="197" t="n">
        <f aca="false">Algae_yield_cost_factor/AC148</f>
        <v>0.0727275670620114</v>
      </c>
    </row>
    <row r="149" customFormat="false" ht="15" hidden="false" customHeight="false" outlineLevel="0" collapsed="false">
      <c r="A149" s="18" t="s">
        <v>713</v>
      </c>
      <c r="B149" s="18" t="s">
        <v>22</v>
      </c>
      <c r="C149" s="18" t="s">
        <v>688</v>
      </c>
      <c r="D149" s="18" t="s">
        <v>688</v>
      </c>
      <c r="E149" s="28" t="n">
        <v>5.199425</v>
      </c>
      <c r="F149" s="185" t="n">
        <f aca="false">E149/$B$2*$F$3/1000</f>
        <v>0.01273859125</v>
      </c>
      <c r="G149" s="18" t="n">
        <f aca="false">LOOKUP(RIGHT(D149,5),Ref!$C$4:$C$21,Ref!$E$4:$E$21)*$G$3</f>
        <v>4.5</v>
      </c>
      <c r="H149" s="218" t="n">
        <f aca="false">$E149</f>
        <v>5.199425</v>
      </c>
      <c r="I149" s="177" t="n">
        <f aca="false">$E149</f>
        <v>5.199425</v>
      </c>
      <c r="J149" s="177" t="n">
        <f aca="false">$E149</f>
        <v>5.199425</v>
      </c>
      <c r="K149" s="177" t="n">
        <f aca="false">$E149</f>
        <v>5.199425</v>
      </c>
      <c r="L149" s="177" t="n">
        <f aca="false">$E149</f>
        <v>5.199425</v>
      </c>
      <c r="M149" s="177" t="n">
        <f aca="false">M$3*$E149</f>
        <v>5.44601227064627</v>
      </c>
      <c r="N149" s="177" t="n">
        <f aca="false">N$3*$E149</f>
        <v>5.59384391765695</v>
      </c>
      <c r="O149" s="177" t="n">
        <f aca="false">O$3*$E149</f>
        <v>5.81921165283485</v>
      </c>
      <c r="P149" s="177" t="n">
        <f aca="false">P$3*$E149</f>
        <v>6.14793282911686</v>
      </c>
      <c r="Q149" s="177" t="n">
        <f aca="false">Q$3*$E149</f>
        <v>6.59776574980669</v>
      </c>
      <c r="R149" s="177" t="n">
        <f aca="false">R$3*$E149</f>
        <v>7.1624193918658</v>
      </c>
      <c r="S149" s="177" t="n">
        <f aca="false">S$3*$E149</f>
        <v>7.7991375</v>
      </c>
      <c r="T149" s="177" t="n">
        <f aca="false">T$3*$E149</f>
        <v>8.4358556081342</v>
      </c>
      <c r="U149" s="177" t="n">
        <f aca="false">U$3*$E149</f>
        <v>9.00050925019331</v>
      </c>
      <c r="V149" s="177" t="n">
        <f aca="false">V$3*$E149</f>
        <v>9.45034217088313</v>
      </c>
      <c r="W149" s="177" t="n">
        <f aca="false">W$3*$E149</f>
        <v>9.77906334716515</v>
      </c>
      <c r="X149" s="177" t="n">
        <f aca="false">X$3*$E149</f>
        <v>10.004431082343</v>
      </c>
      <c r="Y149" s="177" t="n">
        <f aca="false">Y$3*$E149</f>
        <v>10.1522627293537</v>
      </c>
      <c r="Z149" s="177" t="n">
        <f aca="false">Z$3*$E149</f>
        <v>10.2464432546256</v>
      </c>
      <c r="AA149" s="177" t="n">
        <f aca="false">AA$3*$E149</f>
        <v>10.3053320502679</v>
      </c>
      <c r="AB149" s="177" t="n">
        <f aca="false">AB$3*$E149</f>
        <v>10.3417242158129</v>
      </c>
      <c r="AC149" s="177" t="n">
        <f aca="false">AC$3*$E149</f>
        <v>10.364051023583</v>
      </c>
      <c r="AD149" s="219" t="n">
        <f aca="false">Algae_electricity_factor/H149</f>
        <v>0.0026432917300527</v>
      </c>
      <c r="AE149" s="220" t="n">
        <f aca="false">Algae_electricity_factor/I149</f>
        <v>0.0026432917300527</v>
      </c>
      <c r="AF149" s="220" t="n">
        <f aca="false">Algae_electricity_factor/J149</f>
        <v>0.0026432917300527</v>
      </c>
      <c r="AG149" s="220" t="n">
        <f aca="false">Algae_electricity_factor/K149</f>
        <v>0.0026432917300527</v>
      </c>
      <c r="AH149" s="220" t="n">
        <f aca="false">Algae_electricity_factor/L149</f>
        <v>0.0026432917300527</v>
      </c>
      <c r="AI149" s="220" t="n">
        <f aca="false">Algae_electricity_factor/M149</f>
        <v>0.00252360744348788</v>
      </c>
      <c r="AJ149" s="220" t="n">
        <f aca="false">Algae_electricity_factor/N149</f>
        <v>0.00245691465579646</v>
      </c>
      <c r="AK149" s="220" t="n">
        <f aca="false">Algae_electricity_factor/O149</f>
        <v>0.00236176271348268</v>
      </c>
      <c r="AL149" s="220" t="n">
        <f aca="false">Algae_electricity_factor/P149</f>
        <v>0.00223548263872354</v>
      </c>
      <c r="AM149" s="220" t="n">
        <f aca="false">Algae_electricity_factor/Q149</f>
        <v>0.00208306836354897</v>
      </c>
      <c r="AN149" s="220" t="n">
        <f aca="false">Algae_electricity_factor/R149</f>
        <v>0.00191884841582127</v>
      </c>
      <c r="AO149" s="220" t="n">
        <f aca="false">Algae_electricity_factor/S149</f>
        <v>0.0017621944867018</v>
      </c>
      <c r="AP149" s="220" t="n">
        <f aca="false">Algae_electricity_factor/T149</f>
        <v>0.00162918828177632</v>
      </c>
      <c r="AQ149" s="220" t="n">
        <f aca="false">Algae_electricity_factor/U149</f>
        <v>0.00152697994318867</v>
      </c>
      <c r="AR149" s="220" t="n">
        <f aca="false">Algae_electricity_factor/V149</f>
        <v>0.001454296241873</v>
      </c>
      <c r="AS149" s="220" t="n">
        <f aca="false">Algae_electricity_factor/W149</f>
        <v>0.00140541037680397</v>
      </c>
      <c r="AT149" s="220" t="n">
        <f aca="false">Algae_electricity_factor/X149</f>
        <v>0.00137375098997738</v>
      </c>
      <c r="AU149" s="220" t="n">
        <f aca="false">Algae_electricity_factor/Y149</f>
        <v>0.0013537471862102</v>
      </c>
      <c r="AV149" s="220" t="n">
        <f aca="false">Algae_electricity_factor/Z149</f>
        <v>0.00134130417375072</v>
      </c>
      <c r="AW149" s="220" t="n">
        <f aca="false">Algae_electricity_factor/AA149</f>
        <v>0.00133363942437663</v>
      </c>
      <c r="AX149" s="220" t="n">
        <f aca="false">Algae_electricity_factor/AB149</f>
        <v>0.00132894639392092</v>
      </c>
      <c r="AY149" s="220" t="n">
        <f aca="false">Algae_electricity_factor/AC149</f>
        <v>0.00132608350463117</v>
      </c>
      <c r="AZ149" s="221" t="n">
        <f aca="false">Algae_yield_cost_factor/H149</f>
        <v>0.14633206927424</v>
      </c>
      <c r="BA149" s="197" t="n">
        <f aca="false">Algae_yield_cost_factor/I149</f>
        <v>0.14633206927424</v>
      </c>
      <c r="BB149" s="197" t="n">
        <f aca="false">Algae_yield_cost_factor/J149</f>
        <v>0.14633206927424</v>
      </c>
      <c r="BC149" s="197" t="n">
        <f aca="false">Algae_yield_cost_factor/K149</f>
        <v>0.14633206927424</v>
      </c>
      <c r="BD149" s="197" t="n">
        <f aca="false">Algae_yield_cost_factor/L149</f>
        <v>0.14633206927424</v>
      </c>
      <c r="BE149" s="197" t="n">
        <f aca="false">Algae_yield_cost_factor/M149</f>
        <v>0.13970637256679</v>
      </c>
      <c r="BF149" s="197" t="n">
        <f aca="false">Algae_yield_cost_factor/N149</f>
        <v>0.136014273992276</v>
      </c>
      <c r="BG149" s="197" t="n">
        <f aca="false">Algae_yield_cost_factor/O149</f>
        <v>0.130746682656846</v>
      </c>
      <c r="BH149" s="197" t="n">
        <f aca="false">Algae_yield_cost_factor/P149</f>
        <v>0.123755844514572</v>
      </c>
      <c r="BI149" s="197" t="n">
        <f aca="false">Algae_yield_cost_factor/Q149</f>
        <v>0.115318222582927</v>
      </c>
      <c r="BJ149" s="197" t="n">
        <f aca="false">Algae_yield_cost_factor/R149</f>
        <v>0.106227041123882</v>
      </c>
      <c r="BK149" s="197" t="n">
        <f aca="false">Algae_yield_cost_factor/S149</f>
        <v>0.0975547128494937</v>
      </c>
      <c r="BL149" s="197" t="n">
        <f aca="false">Algae_yield_cost_factor/T149</f>
        <v>0.0901915175684825</v>
      </c>
      <c r="BM149" s="197" t="n">
        <f aca="false">Algae_yield_cost_factor/U149</f>
        <v>0.0845332856326853</v>
      </c>
      <c r="BN149" s="197" t="n">
        <f aca="false">Algae_yield_cost_factor/V149</f>
        <v>0.0805095313511931</v>
      </c>
      <c r="BO149" s="197" t="n">
        <f aca="false">Algae_yield_cost_factor/W149</f>
        <v>0.0778032202344592</v>
      </c>
      <c r="BP149" s="197" t="n">
        <f aca="false">Algae_yield_cost_factor/X149</f>
        <v>0.076050563297801</v>
      </c>
      <c r="BQ149" s="197" t="n">
        <f aca="false">Algae_yield_cost_factor/Y149</f>
        <v>0.0749431569660187</v>
      </c>
      <c r="BR149" s="197" t="n">
        <f aca="false">Algae_yield_cost_factor/Z149</f>
        <v>0.0742543144366456</v>
      </c>
      <c r="BS149" s="197" t="n">
        <f aca="false">Algae_yield_cost_factor/AA149</f>
        <v>0.0738299955377413</v>
      </c>
      <c r="BT149" s="197" t="n">
        <f aca="false">Algae_yield_cost_factor/AB149</f>
        <v>0.0735701903675654</v>
      </c>
      <c r="BU149" s="197" t="n">
        <f aca="false">Algae_yield_cost_factor/AC149</f>
        <v>0.0734117014239846</v>
      </c>
    </row>
    <row r="150" customFormat="false" ht="15" hidden="false" customHeight="false" outlineLevel="0" collapsed="false">
      <c r="A150" s="18" t="s">
        <v>714</v>
      </c>
      <c r="B150" s="18" t="s">
        <v>22</v>
      </c>
      <c r="C150" s="18" t="s">
        <v>690</v>
      </c>
      <c r="D150" s="18" t="s">
        <v>690</v>
      </c>
      <c r="E150" s="28" t="n">
        <v>6.8724755</v>
      </c>
      <c r="F150" s="185" t="n">
        <f aca="false">E150/$B$2*$F$3/1000</f>
        <v>0.016837564975</v>
      </c>
      <c r="G150" s="18" t="n">
        <f aca="false">LOOKUP(RIGHT(D150,5),Ref!$C$4:$C$21,Ref!$E$4:$E$21)*$G$3</f>
        <v>1.5</v>
      </c>
      <c r="H150" s="218" t="n">
        <f aca="false">$E150</f>
        <v>6.8724755</v>
      </c>
      <c r="I150" s="177" t="n">
        <f aca="false">$E150</f>
        <v>6.8724755</v>
      </c>
      <c r="J150" s="177" t="n">
        <f aca="false">$E150</f>
        <v>6.8724755</v>
      </c>
      <c r="K150" s="177" t="n">
        <f aca="false">$E150</f>
        <v>6.8724755</v>
      </c>
      <c r="L150" s="177" t="n">
        <f aca="false">$E150</f>
        <v>6.8724755</v>
      </c>
      <c r="M150" s="177" t="n">
        <f aca="false">M$3*$E150</f>
        <v>7.19840865147893</v>
      </c>
      <c r="N150" s="177" t="n">
        <f aca="false">N$3*$E150</f>
        <v>7.39380898367059</v>
      </c>
      <c r="O150" s="177" t="n">
        <f aca="false">O$3*$E150</f>
        <v>7.69169466112541</v>
      </c>
      <c r="P150" s="177" t="n">
        <f aca="false">P$3*$E150</f>
        <v>8.12619044293385</v>
      </c>
      <c r="Q150" s="177" t="n">
        <f aca="false">Q$3*$E150</f>
        <v>8.72076882930047</v>
      </c>
      <c r="R150" s="177" t="n">
        <f aca="false">R$3*$E150</f>
        <v>9.46711449656887</v>
      </c>
      <c r="S150" s="177" t="n">
        <f aca="false">S$3*$E150</f>
        <v>10.30871325</v>
      </c>
      <c r="T150" s="177" t="n">
        <f aca="false">T$3*$E150</f>
        <v>11.1503120034311</v>
      </c>
      <c r="U150" s="177" t="n">
        <f aca="false">U$3*$E150</f>
        <v>11.8966576706995</v>
      </c>
      <c r="V150" s="177" t="n">
        <f aca="false">V$3*$E150</f>
        <v>12.4912360570662</v>
      </c>
      <c r="W150" s="177" t="n">
        <f aca="false">W$3*$E150</f>
        <v>12.9257318388746</v>
      </c>
      <c r="X150" s="177" t="n">
        <f aca="false">X$3*$E150</f>
        <v>13.2236175163294</v>
      </c>
      <c r="Y150" s="177" t="n">
        <f aca="false">Y$3*$E150</f>
        <v>13.4190178485211</v>
      </c>
      <c r="Z150" s="177" t="n">
        <f aca="false">Z$3*$E150</f>
        <v>13.543503412311</v>
      </c>
      <c r="AA150" s="177" t="n">
        <f aca="false">AA$3*$E150</f>
        <v>13.6213412126977</v>
      </c>
      <c r="AB150" s="177" t="n">
        <f aca="false">AB$3*$E150</f>
        <v>13.6694435059513</v>
      </c>
      <c r="AC150" s="177" t="n">
        <f aca="false">AC$3*$E150</f>
        <v>13.6989545459977</v>
      </c>
      <c r="AD150" s="219" t="n">
        <f aca="false">Algae_electricity_factor/H150</f>
        <v>0.00199980299726485</v>
      </c>
      <c r="AE150" s="220" t="n">
        <f aca="false">Algae_electricity_factor/I150</f>
        <v>0.00199980299726485</v>
      </c>
      <c r="AF150" s="220" t="n">
        <f aca="false">Algae_electricity_factor/J150</f>
        <v>0.00199980299726485</v>
      </c>
      <c r="AG150" s="220" t="n">
        <f aca="false">Algae_electricity_factor/K150</f>
        <v>0.00199980299726485</v>
      </c>
      <c r="AH150" s="220" t="n">
        <f aca="false">Algae_electricity_factor/L150</f>
        <v>0.00199980299726485</v>
      </c>
      <c r="AI150" s="220" t="n">
        <f aca="false">Algae_electricity_factor/M150</f>
        <v>0.00190925491576608</v>
      </c>
      <c r="AJ150" s="220" t="n">
        <f aca="false">Algae_electricity_factor/N150</f>
        <v>0.00185879796649905</v>
      </c>
      <c r="AK150" s="220" t="n">
        <f aca="false">Algae_electricity_factor/O150</f>
        <v>0.00178681002159261</v>
      </c>
      <c r="AL150" s="220" t="n">
        <f aca="false">Algae_electricity_factor/P150</f>
        <v>0.00169127184503534</v>
      </c>
      <c r="AM150" s="220" t="n">
        <f aca="false">Algae_electricity_factor/Q150</f>
        <v>0.00157596163509722</v>
      </c>
      <c r="AN150" s="220" t="n">
        <f aca="false">Algae_electricity_factor/R150</f>
        <v>0.00145171975141003</v>
      </c>
      <c r="AO150" s="220" t="n">
        <f aca="false">Algae_electricity_factor/S150</f>
        <v>0.00133320199817657</v>
      </c>
      <c r="AP150" s="220" t="n">
        <f aca="false">Algae_electricity_factor/T150</f>
        <v>0.00123257511532414</v>
      </c>
      <c r="AQ150" s="220" t="n">
        <f aca="false">Algae_electricity_factor/U150</f>
        <v>0.00115524859872018</v>
      </c>
      <c r="AR150" s="220" t="n">
        <f aca="false">Algae_electricity_factor/V150</f>
        <v>0.0011002591769735</v>
      </c>
      <c r="AS150" s="220" t="n">
        <f aca="false">Algae_electricity_factor/W150</f>
        <v>0.00106327419405336</v>
      </c>
      <c r="AT150" s="220" t="n">
        <f aca="false">Algae_electricity_factor/X150</f>
        <v>0.00103932203775236</v>
      </c>
      <c r="AU150" s="220" t="n">
        <f aca="false">Algae_electricity_factor/Y150</f>
        <v>0.00102418800382205</v>
      </c>
      <c r="AV150" s="220" t="n">
        <f aca="false">Algae_electricity_factor/Z150</f>
        <v>0.00101477414559045</v>
      </c>
      <c r="AW150" s="220" t="n">
        <f aca="false">Algae_electricity_factor/AA150</f>
        <v>0.00100897531960492</v>
      </c>
      <c r="AX150" s="220" t="n">
        <f aca="false">Algae_electricity_factor/AB150</f>
        <v>0.00100542477077034</v>
      </c>
      <c r="AY150" s="220" t="n">
        <f aca="false">Algae_electricity_factor/AC150</f>
        <v>0.00100325882952467</v>
      </c>
      <c r="AZ150" s="221" t="n">
        <f aca="false">Algae_yield_cost_factor/H150</f>
        <v>0.11070866957419</v>
      </c>
      <c r="BA150" s="197" t="n">
        <f aca="false">Algae_yield_cost_factor/I150</f>
        <v>0.11070866957419</v>
      </c>
      <c r="BB150" s="197" t="n">
        <f aca="false">Algae_yield_cost_factor/J150</f>
        <v>0.11070866957419</v>
      </c>
      <c r="BC150" s="197" t="n">
        <f aca="false">Algae_yield_cost_factor/K150</f>
        <v>0.11070866957419</v>
      </c>
      <c r="BD150" s="197" t="n">
        <f aca="false">Algae_yield_cost_factor/L150</f>
        <v>0.11070866957419</v>
      </c>
      <c r="BE150" s="197" t="n">
        <f aca="false">Algae_yield_cost_factor/M150</f>
        <v>0.105695946996549</v>
      </c>
      <c r="BF150" s="197" t="n">
        <f aca="false">Algae_yield_cost_factor/N150</f>
        <v>0.102902660991995</v>
      </c>
      <c r="BG150" s="197" t="n">
        <f aca="false">Algae_yield_cost_factor/O150</f>
        <v>0.0989174236376792</v>
      </c>
      <c r="BH150" s="197" t="n">
        <f aca="false">Algae_yield_cost_factor/P150</f>
        <v>0.0936284504564879</v>
      </c>
      <c r="BI150" s="197" t="n">
        <f aca="false">Algae_yield_cost_factor/Q150</f>
        <v>0.0872449017029211</v>
      </c>
      <c r="BJ150" s="197" t="n">
        <f aca="false">Algae_yield_cost_factor/R150</f>
        <v>0.0803668973858895</v>
      </c>
      <c r="BK150" s="197" t="n">
        <f aca="false">Algae_yield_cost_factor/S150</f>
        <v>0.0738057797161268</v>
      </c>
      <c r="BL150" s="197" t="n">
        <f aca="false">Algae_yield_cost_factor/T150</f>
        <v>0.0682350968342495</v>
      </c>
      <c r="BM150" s="197" t="n">
        <f aca="false">Algae_yield_cost_factor/U150</f>
        <v>0.0639543172835938</v>
      </c>
      <c r="BN150" s="197" t="n">
        <f aca="false">Algae_yield_cost_factor/V150</f>
        <v>0.0609101145643483</v>
      </c>
      <c r="BO150" s="197" t="n">
        <f aca="false">Algae_yield_cost_factor/W150</f>
        <v>0.0588626337580327</v>
      </c>
      <c r="BP150" s="197" t="n">
        <f aca="false">Algae_yield_cost_factor/X150</f>
        <v>0.0575366474678111</v>
      </c>
      <c r="BQ150" s="197" t="n">
        <f aca="false">Algae_yield_cost_factor/Y150</f>
        <v>0.0566988305608425</v>
      </c>
      <c r="BR150" s="197" t="n">
        <f aca="false">Algae_yield_cost_factor/Z150</f>
        <v>0.0561776813667442</v>
      </c>
      <c r="BS150" s="197" t="n">
        <f aca="false">Algae_yield_cost_factor/AA150</f>
        <v>0.0558566595906847</v>
      </c>
      <c r="BT150" s="197" t="n">
        <f aca="false">Algae_yield_cost_factor/AB150</f>
        <v>0.0556601019606223</v>
      </c>
      <c r="BU150" s="197" t="n">
        <f aca="false">Algae_yield_cost_factor/AC150</f>
        <v>0.0555401959128703</v>
      </c>
    </row>
    <row r="151" customFormat="false" ht="15" hidden="false" customHeight="false" outlineLevel="0" collapsed="false">
      <c r="A151" s="18" t="s">
        <v>714</v>
      </c>
      <c r="B151" s="18" t="s">
        <v>22</v>
      </c>
      <c r="C151" s="18" t="s">
        <v>691</v>
      </c>
      <c r="D151" s="18" t="s">
        <v>691</v>
      </c>
      <c r="E151" s="28" t="n">
        <v>6.39188</v>
      </c>
      <c r="F151" s="185" t="n">
        <f aca="false">E151/$B$2*$F$3/1000</f>
        <v>0.015660106</v>
      </c>
      <c r="G151" s="18" t="n">
        <f aca="false">LOOKUP(RIGHT(D151,5),Ref!$C$4:$C$21,Ref!$E$4:$E$21)*$G$3</f>
        <v>2</v>
      </c>
      <c r="H151" s="218" t="n">
        <f aca="false">$E151</f>
        <v>6.39188</v>
      </c>
      <c r="I151" s="177" t="n">
        <f aca="false">$E151</f>
        <v>6.39188</v>
      </c>
      <c r="J151" s="177" t="n">
        <f aca="false">$E151</f>
        <v>6.39188</v>
      </c>
      <c r="K151" s="177" t="n">
        <f aca="false">$E151</f>
        <v>6.39188</v>
      </c>
      <c r="L151" s="177" t="n">
        <f aca="false">$E151</f>
        <v>6.39188</v>
      </c>
      <c r="M151" s="177" t="n">
        <f aca="false">M$3*$E151</f>
        <v>6.69502049024622</v>
      </c>
      <c r="N151" s="177" t="n">
        <f aca="false">N$3*$E151</f>
        <v>6.87675638371419</v>
      </c>
      <c r="O151" s="177" t="n">
        <f aca="false">O$3*$E151</f>
        <v>7.15381077321473</v>
      </c>
      <c r="P151" s="177" t="n">
        <f aca="false">P$3*$E151</f>
        <v>7.55792205710737</v>
      </c>
      <c r="Q151" s="177" t="n">
        <f aca="false">Q$3*$E151</f>
        <v>8.11092129242645</v>
      </c>
      <c r="R151" s="177" t="n">
        <f aca="false">R$3*$E151</f>
        <v>8.80507465007749</v>
      </c>
      <c r="S151" s="177" t="n">
        <f aca="false">S$3*$E151</f>
        <v>9.58782</v>
      </c>
      <c r="T151" s="177" t="n">
        <f aca="false">T$3*$E151</f>
        <v>10.3705653499225</v>
      </c>
      <c r="U151" s="177" t="n">
        <f aca="false">U$3*$E151</f>
        <v>11.0647187075736</v>
      </c>
      <c r="V151" s="177" t="n">
        <f aca="false">V$3*$E151</f>
        <v>11.6177179428926</v>
      </c>
      <c r="W151" s="177" t="n">
        <f aca="false">W$3*$E151</f>
        <v>12.0218292267853</v>
      </c>
      <c r="X151" s="177" t="n">
        <f aca="false">X$3*$E151</f>
        <v>12.2988836162858</v>
      </c>
      <c r="Y151" s="177" t="n">
        <f aca="false">Y$3*$E151</f>
        <v>12.4806195097538</v>
      </c>
      <c r="Z151" s="177" t="n">
        <f aca="false">Z$3*$E151</f>
        <v>12.596399738505</v>
      </c>
      <c r="AA151" s="177" t="n">
        <f aca="false">AA$3*$E151</f>
        <v>12.6687943042675</v>
      </c>
      <c r="AB151" s="177" t="n">
        <f aca="false">AB$3*$E151</f>
        <v>12.7135327811384</v>
      </c>
      <c r="AC151" s="177" t="n">
        <f aca="false">AC$3*$E151</f>
        <v>12.7409801000341</v>
      </c>
      <c r="AD151" s="219" t="n">
        <f aca="false">Algae_electricity_factor/H151</f>
        <v>0.00215016506935819</v>
      </c>
      <c r="AE151" s="220" t="n">
        <f aca="false">Algae_electricity_factor/I151</f>
        <v>0.00215016506935819</v>
      </c>
      <c r="AF151" s="220" t="n">
        <f aca="false">Algae_electricity_factor/J151</f>
        <v>0.00215016506935819</v>
      </c>
      <c r="AG151" s="220" t="n">
        <f aca="false">Algae_electricity_factor/K151</f>
        <v>0.00215016506935819</v>
      </c>
      <c r="AH151" s="220" t="n">
        <f aca="false">Algae_electricity_factor/L151</f>
        <v>0.00215016506935819</v>
      </c>
      <c r="AI151" s="220" t="n">
        <f aca="false">Algae_electricity_factor/M151</f>
        <v>0.00205280881866633</v>
      </c>
      <c r="AJ151" s="220" t="n">
        <f aca="false">Algae_electricity_factor/N151</f>
        <v>0.00199855808998519</v>
      </c>
      <c r="AK151" s="220" t="n">
        <f aca="false">Algae_electricity_factor/O151</f>
        <v>0.00192115748364326</v>
      </c>
      <c r="AL151" s="220" t="n">
        <f aca="false">Algae_electricity_factor/P151</f>
        <v>0.00181843594041896</v>
      </c>
      <c r="AM151" s="220" t="n">
        <f aca="false">Algae_electricity_factor/Q151</f>
        <v>0.00169445573542457</v>
      </c>
      <c r="AN151" s="220" t="n">
        <f aca="false">Algae_electricity_factor/R151</f>
        <v>0.00156087229804557</v>
      </c>
      <c r="AO151" s="220" t="n">
        <f aca="false">Algae_electricity_factor/S151</f>
        <v>0.00143344337957213</v>
      </c>
      <c r="AP151" s="220" t="n">
        <f aca="false">Algae_electricity_factor/T151</f>
        <v>0.00132525051815347</v>
      </c>
      <c r="AQ151" s="220" t="n">
        <f aca="false">Algae_electricity_factor/U151</f>
        <v>0.00124210994122445</v>
      </c>
      <c r="AR151" s="220" t="n">
        <f aca="false">Algae_electricity_factor/V151</f>
        <v>0.00118298595051855</v>
      </c>
      <c r="AS151" s="220" t="n">
        <f aca="false">Algae_electricity_factor/W151</f>
        <v>0.00114322012434745</v>
      </c>
      <c r="AT151" s="220" t="n">
        <f aca="false">Algae_electricity_factor/X151</f>
        <v>0.00111746704272658</v>
      </c>
      <c r="AU151" s="220" t="n">
        <f aca="false">Algae_electricity_factor/Y151</f>
        <v>0.00110119510436068</v>
      </c>
      <c r="AV151" s="220" t="n">
        <f aca="false">Algae_electricity_factor/Z151</f>
        <v>0.00109107343279346</v>
      </c>
      <c r="AW151" s="220" t="n">
        <f aca="false">Algae_electricity_factor/AA151</f>
        <v>0.00108483860211541</v>
      </c>
      <c r="AX151" s="220" t="n">
        <f aca="false">Algae_electricity_factor/AB151</f>
        <v>0.00108102109304497</v>
      </c>
      <c r="AY151" s="220" t="n">
        <f aca="false">Algae_electricity_factor/AC151</f>
        <v>0.00107869229805111</v>
      </c>
      <c r="AZ151" s="221" t="n">
        <f aca="false">Algae_yield_cost_factor/H151</f>
        <v>0.119032681978732</v>
      </c>
      <c r="BA151" s="197" t="n">
        <f aca="false">Algae_yield_cost_factor/I151</f>
        <v>0.119032681978732</v>
      </c>
      <c r="BB151" s="197" t="n">
        <f aca="false">Algae_yield_cost_factor/J151</f>
        <v>0.119032681978732</v>
      </c>
      <c r="BC151" s="197" t="n">
        <f aca="false">Algae_yield_cost_factor/K151</f>
        <v>0.119032681978732</v>
      </c>
      <c r="BD151" s="197" t="n">
        <f aca="false">Algae_yield_cost_factor/L151</f>
        <v>0.119032681978732</v>
      </c>
      <c r="BE151" s="197" t="n">
        <f aca="false">Algae_yield_cost_factor/M151</f>
        <v>0.113643060599242</v>
      </c>
      <c r="BF151" s="197" t="n">
        <f aca="false">Algae_yield_cost_factor/N151</f>
        <v>0.110639751771355</v>
      </c>
      <c r="BG151" s="197" t="n">
        <f aca="false">Algae_yield_cost_factor/O151</f>
        <v>0.106354870628527</v>
      </c>
      <c r="BH151" s="197" t="n">
        <f aca="false">Algae_yield_cost_factor/P151</f>
        <v>0.100668227792946</v>
      </c>
      <c r="BI151" s="197" t="n">
        <f aca="false">Algae_yield_cost_factor/Q151</f>
        <v>0.0938047099528204</v>
      </c>
      <c r="BJ151" s="197" t="n">
        <f aca="false">Algae_yield_cost_factor/R151</f>
        <v>0.0864095592056703</v>
      </c>
      <c r="BK151" s="197" t="n">
        <f aca="false">Algae_yield_cost_factor/S151</f>
        <v>0.0793551213191547</v>
      </c>
      <c r="BL151" s="197" t="n">
        <f aca="false">Algae_yield_cost_factor/T151</f>
        <v>0.0733655874693372</v>
      </c>
      <c r="BM151" s="197" t="n">
        <f aca="false">Algae_yield_cost_factor/U151</f>
        <v>0.0687629427728188</v>
      </c>
      <c r="BN151" s="197" t="n">
        <f aca="false">Algae_yield_cost_factor/V151</f>
        <v>0.0654898511933386</v>
      </c>
      <c r="BO151" s="197" t="n">
        <f aca="false">Algae_yield_cost_factor/W151</f>
        <v>0.0632884234947391</v>
      </c>
      <c r="BP151" s="197" t="n">
        <f aca="false">Algae_yield_cost_factor/X151</f>
        <v>0.0618627383609625</v>
      </c>
      <c r="BQ151" s="197" t="n">
        <f aca="false">Algae_yield_cost_factor/Y151</f>
        <v>0.0609619273059009</v>
      </c>
      <c r="BR151" s="197" t="n">
        <f aca="false">Algae_yield_cost_factor/Z151</f>
        <v>0.0604015937157387</v>
      </c>
      <c r="BS151" s="197" t="n">
        <f aca="false">Algae_yield_cost_factor/AA151</f>
        <v>0.0600564348124215</v>
      </c>
      <c r="BT151" s="197" t="n">
        <f aca="false">Algae_yield_cost_factor/AB151</f>
        <v>0.05984509832035</v>
      </c>
      <c r="BU151" s="197" t="n">
        <f aca="false">Algae_yield_cost_factor/AC151</f>
        <v>0.0597161767236559</v>
      </c>
    </row>
    <row r="152" customFormat="false" ht="15" hidden="false" customHeight="false" outlineLevel="0" collapsed="false">
      <c r="A152" s="18" t="s">
        <v>714</v>
      </c>
      <c r="B152" s="18" t="s">
        <v>22</v>
      </c>
      <c r="C152" s="18" t="s">
        <v>692</v>
      </c>
      <c r="D152" s="18" t="s">
        <v>692</v>
      </c>
      <c r="E152" s="28" t="n">
        <v>6.1986125</v>
      </c>
      <c r="F152" s="185" t="n">
        <f aca="false">E152/$B$2*$F$3/1000</f>
        <v>0.015186600625</v>
      </c>
      <c r="G152" s="18" t="n">
        <f aca="false">LOOKUP(RIGHT(D152,5),Ref!$C$4:$C$21,Ref!$E$4:$E$21)*$G$3</f>
        <v>2.5</v>
      </c>
      <c r="H152" s="218" t="n">
        <f aca="false">$E152</f>
        <v>6.1986125</v>
      </c>
      <c r="I152" s="177" t="n">
        <f aca="false">$E152</f>
        <v>6.1986125</v>
      </c>
      <c r="J152" s="177" t="n">
        <f aca="false">$E152</f>
        <v>6.1986125</v>
      </c>
      <c r="K152" s="177" t="n">
        <f aca="false">$E152</f>
        <v>6.1986125</v>
      </c>
      <c r="L152" s="177" t="n">
        <f aca="false">$E152</f>
        <v>6.1986125</v>
      </c>
      <c r="M152" s="177" t="n">
        <f aca="false">M$3*$E152</f>
        <v>6.49258711030188</v>
      </c>
      <c r="N152" s="177" t="n">
        <f aca="false">N$3*$E152</f>
        <v>6.66882796290693</v>
      </c>
      <c r="O152" s="177" t="n">
        <f aca="false">O$3*$E152</f>
        <v>6.93750522248282</v>
      </c>
      <c r="P152" s="177" t="n">
        <f aca="false">P$3*$E152</f>
        <v>7.32939763218513</v>
      </c>
      <c r="Q152" s="177" t="n">
        <f aca="false">Q$3*$E152</f>
        <v>7.86567615627182</v>
      </c>
      <c r="R152" s="177" t="n">
        <f aca="false">R$3*$E152</f>
        <v>8.53884080887055</v>
      </c>
      <c r="S152" s="177" t="n">
        <f aca="false">S$3*$E152</f>
        <v>9.29791875</v>
      </c>
      <c r="T152" s="177" t="n">
        <f aca="false">T$3*$E152</f>
        <v>10.0569966911295</v>
      </c>
      <c r="U152" s="177" t="n">
        <f aca="false">U$3*$E152</f>
        <v>10.7301613437282</v>
      </c>
      <c r="V152" s="177" t="n">
        <f aca="false">V$3*$E152</f>
        <v>11.2664398678149</v>
      </c>
      <c r="W152" s="177" t="n">
        <f aca="false">W$3*$E152</f>
        <v>11.6583322775172</v>
      </c>
      <c r="X152" s="177" t="n">
        <f aca="false">X$3*$E152</f>
        <v>11.9270095370931</v>
      </c>
      <c r="Y152" s="177" t="n">
        <f aca="false">Y$3*$E152</f>
        <v>12.1032503896981</v>
      </c>
      <c r="Z152" s="177" t="n">
        <f aca="false">Z$3*$E152</f>
        <v>12.2155298400618</v>
      </c>
      <c r="AA152" s="177" t="n">
        <f aca="false">AA$3*$E152</f>
        <v>12.2857354541014</v>
      </c>
      <c r="AB152" s="177" t="n">
        <f aca="false">AB$3*$E152</f>
        <v>12.3291212000732</v>
      </c>
      <c r="AC152" s="177" t="n">
        <f aca="false">AC$3*$E152</f>
        <v>12.3557386106001</v>
      </c>
      <c r="AD152" s="219" t="n">
        <f aca="false">Algae_electricity_factor/H152</f>
        <v>0.0022172053993582</v>
      </c>
      <c r="AE152" s="220" t="n">
        <f aca="false">Algae_electricity_factor/I152</f>
        <v>0.0022172053993582</v>
      </c>
      <c r="AF152" s="220" t="n">
        <f aca="false">Algae_electricity_factor/J152</f>
        <v>0.0022172053993582</v>
      </c>
      <c r="AG152" s="220" t="n">
        <f aca="false">Algae_electricity_factor/K152</f>
        <v>0.0022172053993582</v>
      </c>
      <c r="AH152" s="220" t="n">
        <f aca="false">Algae_electricity_factor/L152</f>
        <v>0.0022172053993582</v>
      </c>
      <c r="AI152" s="220" t="n">
        <f aca="false">Algae_electricity_factor/M152</f>
        <v>0.00211681366303459</v>
      </c>
      <c r="AJ152" s="220" t="n">
        <f aca="false">Algae_electricity_factor/N152</f>
        <v>0.00206087144247435</v>
      </c>
      <c r="AK152" s="220" t="n">
        <f aca="false">Algae_electricity_factor/O152</f>
        <v>0.00198105755062922</v>
      </c>
      <c r="AL152" s="220" t="n">
        <f aca="false">Algae_electricity_factor/P152</f>
        <v>0.00187513323648561</v>
      </c>
      <c r="AM152" s="220" t="n">
        <f aca="false">Algae_electricity_factor/Q152</f>
        <v>0.00174728743346121</v>
      </c>
      <c r="AN152" s="220" t="n">
        <f aca="false">Algae_electricity_factor/R152</f>
        <v>0.00160953897738107</v>
      </c>
      <c r="AO152" s="220" t="n">
        <f aca="false">Algae_electricity_factor/S152</f>
        <v>0.00147813693290547</v>
      </c>
      <c r="AP152" s="220" t="n">
        <f aca="false">Algae_electricity_factor/T152</f>
        <v>0.00136657070948939</v>
      </c>
      <c r="AQ152" s="220" t="n">
        <f aca="false">Algae_electricity_factor/U152</f>
        <v>0.00128083787962447</v>
      </c>
      <c r="AR152" s="220" t="n">
        <f aca="false">Algae_electricity_factor/V152</f>
        <v>0.00121987045284739</v>
      </c>
      <c r="AS152" s="220" t="n">
        <f aca="false">Algae_electricity_factor/W152</f>
        <v>0.0011788647618179</v>
      </c>
      <c r="AT152" s="220" t="n">
        <f aca="false">Algae_electricity_factor/X152</f>
        <v>0.00115230872087312</v>
      </c>
      <c r="AU152" s="220" t="n">
        <f aca="false">Algae_electricity_factor/Y152</f>
        <v>0.00113552943721856</v>
      </c>
      <c r="AV152" s="220" t="n">
        <f aca="false">Algae_electricity_factor/Z152</f>
        <v>0.00112509218048456</v>
      </c>
      <c r="AW152" s="220" t="n">
        <f aca="false">Algae_electricity_factor/AA152</f>
        <v>0.00111866295305433</v>
      </c>
      <c r="AX152" s="220" t="n">
        <f aca="false">Algae_electricity_factor/AB152</f>
        <v>0.00111472641727682</v>
      </c>
      <c r="AY152" s="220" t="n">
        <f aca="false">Algae_electricity_factor/AC152</f>
        <v>0.00111232501242285</v>
      </c>
      <c r="AZ152" s="221" t="n">
        <f aca="false">Algae_yield_cost_factor/H152</f>
        <v>0.122744020421702</v>
      </c>
      <c r="BA152" s="197" t="n">
        <f aca="false">Algae_yield_cost_factor/I152</f>
        <v>0.122744020421702</v>
      </c>
      <c r="BB152" s="197" t="n">
        <f aca="false">Algae_yield_cost_factor/J152</f>
        <v>0.122744020421702</v>
      </c>
      <c r="BC152" s="197" t="n">
        <f aca="false">Algae_yield_cost_factor/K152</f>
        <v>0.122744020421702</v>
      </c>
      <c r="BD152" s="197" t="n">
        <f aca="false">Algae_yield_cost_factor/L152</f>
        <v>0.122744020421702</v>
      </c>
      <c r="BE152" s="197" t="n">
        <f aca="false">Algae_yield_cost_factor/M152</f>
        <v>0.117186355201762</v>
      </c>
      <c r="BF152" s="197" t="n">
        <f aca="false">Algae_yield_cost_factor/N152</f>
        <v>0.11408940574238</v>
      </c>
      <c r="BG152" s="197" t="n">
        <f aca="false">Algae_yield_cost_factor/O152</f>
        <v>0.10967092562619</v>
      </c>
      <c r="BH152" s="197" t="n">
        <f aca="false">Algae_yield_cost_factor/P152</f>
        <v>0.103806978072137</v>
      </c>
      <c r="BI152" s="197" t="n">
        <f aca="false">Algae_yield_cost_factor/Q152</f>
        <v>0.0967294615453432</v>
      </c>
      <c r="BJ152" s="197" t="n">
        <f aca="false">Algae_yield_cost_factor/R152</f>
        <v>0.0891037362467068</v>
      </c>
      <c r="BK152" s="197" t="n">
        <f aca="false">Algae_yield_cost_factor/S152</f>
        <v>0.0818293469478014</v>
      </c>
      <c r="BL152" s="197" t="n">
        <f aca="false">Algae_yield_cost_factor/T152</f>
        <v>0.0756530644936278</v>
      </c>
      <c r="BM152" s="197" t="n">
        <f aca="false">Algae_yield_cost_factor/U152</f>
        <v>0.0709069132246491</v>
      </c>
      <c r="BN152" s="197" t="n">
        <f aca="false">Algae_yield_cost_factor/V152</f>
        <v>0.0675317694154421</v>
      </c>
      <c r="BO152" s="197" t="n">
        <f aca="false">Algae_yield_cost_factor/W152</f>
        <v>0.0652617030613791</v>
      </c>
      <c r="BP152" s="197" t="n">
        <f aca="false">Algae_yield_cost_factor/X152</f>
        <v>0.0637915662698175</v>
      </c>
      <c r="BQ152" s="197" t="n">
        <f aca="false">Algae_yield_cost_factor/Y152</f>
        <v>0.0628626686872331</v>
      </c>
      <c r="BR152" s="197" t="n">
        <f aca="false">Algae_yield_cost_factor/Z152</f>
        <v>0.0622848643692046</v>
      </c>
      <c r="BS152" s="197" t="n">
        <f aca="false">Algae_yield_cost_factor/AA152</f>
        <v>0.0619289437029368</v>
      </c>
      <c r="BT152" s="197" t="n">
        <f aca="false">Algae_yield_cost_factor/AB152</f>
        <v>0.0617110179176192</v>
      </c>
      <c r="BU152" s="197" t="n">
        <f aca="false">Algae_yield_cost_factor/AC152</f>
        <v>0.0615780766544773</v>
      </c>
    </row>
    <row r="153" customFormat="false" ht="15" hidden="false" customHeight="false" outlineLevel="0" collapsed="false">
      <c r="A153" s="18" t="s">
        <v>714</v>
      </c>
      <c r="B153" s="18" t="s">
        <v>22</v>
      </c>
      <c r="C153" s="18" t="s">
        <v>693</v>
      </c>
      <c r="D153" s="18" t="s">
        <v>693</v>
      </c>
      <c r="E153" s="28" t="n">
        <v>6.085426</v>
      </c>
      <c r="F153" s="185" t="n">
        <f aca="false">E153/$B$2*$F$3/1000</f>
        <v>0.0149092937</v>
      </c>
      <c r="G153" s="18" t="n">
        <f aca="false">LOOKUP(RIGHT(D153,5),Ref!$C$4:$C$21,Ref!$E$4:$E$21)*$G$3</f>
        <v>3</v>
      </c>
      <c r="H153" s="218" t="n">
        <f aca="false">$E153</f>
        <v>6.085426</v>
      </c>
      <c r="I153" s="177" t="n">
        <f aca="false">$E153</f>
        <v>6.085426</v>
      </c>
      <c r="J153" s="177" t="n">
        <f aca="false">$E153</f>
        <v>6.085426</v>
      </c>
      <c r="K153" s="177" t="n">
        <f aca="false">$E153</f>
        <v>6.085426</v>
      </c>
      <c r="L153" s="177" t="n">
        <f aca="false">$E153</f>
        <v>6.085426</v>
      </c>
      <c r="M153" s="177" t="n">
        <f aca="false">M$3*$E153</f>
        <v>6.37403264170747</v>
      </c>
      <c r="N153" s="177" t="n">
        <f aca="false">N$3*$E153</f>
        <v>6.54705534101396</v>
      </c>
      <c r="O153" s="177" t="n">
        <f aca="false">O$3*$E153</f>
        <v>6.81082656094937</v>
      </c>
      <c r="P153" s="177" t="n">
        <f aca="false">P$3*$E153</f>
        <v>7.19556302563482</v>
      </c>
      <c r="Q153" s="177" t="n">
        <f aca="false">Q$3*$E153</f>
        <v>7.72204911808193</v>
      </c>
      <c r="R153" s="177" t="n">
        <f aca="false">R$3*$E153</f>
        <v>8.38292180196162</v>
      </c>
      <c r="S153" s="177" t="n">
        <f aca="false">S$3*$E153</f>
        <v>9.128139</v>
      </c>
      <c r="T153" s="177" t="n">
        <f aca="false">T$3*$E153</f>
        <v>9.87335619803838</v>
      </c>
      <c r="U153" s="177" t="n">
        <f aca="false">U$3*$E153</f>
        <v>10.5342288819181</v>
      </c>
      <c r="V153" s="177" t="n">
        <f aca="false">V$3*$E153</f>
        <v>11.0607149743652</v>
      </c>
      <c r="W153" s="177" t="n">
        <f aca="false">W$3*$E153</f>
        <v>11.4454514390506</v>
      </c>
      <c r="X153" s="177" t="n">
        <f aca="false">X$3*$E153</f>
        <v>11.709222658986</v>
      </c>
      <c r="Y153" s="177" t="n">
        <f aca="false">Y$3*$E153</f>
        <v>11.8822453582925</v>
      </c>
      <c r="Z153" s="177" t="n">
        <f aca="false">Z$3*$E153</f>
        <v>11.9924745888677</v>
      </c>
      <c r="AA153" s="177" t="n">
        <f aca="false">AA$3*$E153</f>
        <v>12.0613982502552</v>
      </c>
      <c r="AB153" s="177" t="n">
        <f aca="false">AB$3*$E153</f>
        <v>12.1039917736553</v>
      </c>
      <c r="AC153" s="177" t="n">
        <f aca="false">AC$3*$E153</f>
        <v>12.1301231509712</v>
      </c>
      <c r="AD153" s="219" t="n">
        <f aca="false">Algae_electricity_factor/H153</f>
        <v>0.0022584445367554</v>
      </c>
      <c r="AE153" s="220" t="n">
        <f aca="false">Algae_electricity_factor/I153</f>
        <v>0.0022584445367554</v>
      </c>
      <c r="AF153" s="220" t="n">
        <f aca="false">Algae_electricity_factor/J153</f>
        <v>0.0022584445367554</v>
      </c>
      <c r="AG153" s="220" t="n">
        <f aca="false">Algae_electricity_factor/K153</f>
        <v>0.0022584445367554</v>
      </c>
      <c r="AH153" s="220" t="n">
        <f aca="false">Algae_electricity_factor/L153</f>
        <v>0.0022584445367554</v>
      </c>
      <c r="AI153" s="220" t="n">
        <f aca="false">Algae_electricity_factor/M153</f>
        <v>0.00215618555411847</v>
      </c>
      <c r="AJ153" s="220" t="n">
        <f aca="false">Algae_electricity_factor/N153</f>
        <v>0.00209920283053553</v>
      </c>
      <c r="AK153" s="220" t="n">
        <f aca="false">Algae_electricity_factor/O153</f>
        <v>0.00201790443208901</v>
      </c>
      <c r="AL153" s="220" t="n">
        <f aca="false">Algae_electricity_factor/P153</f>
        <v>0.00191000996788806</v>
      </c>
      <c r="AM153" s="220" t="n">
        <f aca="false">Algae_electricity_factor/Q153</f>
        <v>0.00177978628384366</v>
      </c>
      <c r="AN153" s="220" t="n">
        <f aca="false">Algae_electricity_factor/R153</f>
        <v>0.00163947576134054</v>
      </c>
      <c r="AO153" s="220" t="n">
        <f aca="false">Algae_electricity_factor/S153</f>
        <v>0.00150562969117027</v>
      </c>
      <c r="AP153" s="220" t="n">
        <f aca="false">Algae_electricity_factor/T153</f>
        <v>0.00139198838043135</v>
      </c>
      <c r="AQ153" s="220" t="n">
        <f aca="false">Algae_electricity_factor/U153</f>
        <v>0.00130466095407515</v>
      </c>
      <c r="AR153" s="220" t="n">
        <f aca="false">Algae_electricity_factor/V153</f>
        <v>0.00124255955744109</v>
      </c>
      <c r="AS153" s="220" t="n">
        <f aca="false">Algae_electricity_factor/W153</f>
        <v>0.0012007911768895</v>
      </c>
      <c r="AT153" s="220" t="n">
        <f aca="false">Algae_electricity_factor/X153</f>
        <v>0.00117374120415944</v>
      </c>
      <c r="AU153" s="220" t="n">
        <f aca="false">Algae_electricity_factor/Y153</f>
        <v>0.00115664983251147</v>
      </c>
      <c r="AV153" s="220" t="n">
        <f aca="false">Algae_electricity_factor/Z153</f>
        <v>0.00114601844695899</v>
      </c>
      <c r="AW153" s="220" t="n">
        <f aca="false">Algae_electricity_factor/AA153</f>
        <v>0.00113946963845908</v>
      </c>
      <c r="AX153" s="220" t="n">
        <f aca="false">Algae_electricity_factor/AB153</f>
        <v>0.00113545988468388</v>
      </c>
      <c r="AY153" s="220" t="n">
        <f aca="false">Algae_electricity_factor/AC153</f>
        <v>0.00113301381465602</v>
      </c>
      <c r="AZ153" s="221" t="n">
        <f aca="false">Algae_yield_cost_factor/H153</f>
        <v>0.125027010317144</v>
      </c>
      <c r="BA153" s="197" t="n">
        <f aca="false">Algae_yield_cost_factor/I153</f>
        <v>0.125027010317144</v>
      </c>
      <c r="BB153" s="197" t="n">
        <f aca="false">Algae_yield_cost_factor/J153</f>
        <v>0.125027010317144</v>
      </c>
      <c r="BC153" s="197" t="n">
        <f aca="false">Algae_yield_cost_factor/K153</f>
        <v>0.125027010317144</v>
      </c>
      <c r="BD153" s="197" t="n">
        <f aca="false">Algae_yield_cost_factor/L153</f>
        <v>0.125027010317144</v>
      </c>
      <c r="BE153" s="197" t="n">
        <f aca="false">Algae_yield_cost_factor/M153</f>
        <v>0.119365974737526</v>
      </c>
      <c r="BF153" s="197" t="n">
        <f aca="false">Algae_yield_cost_factor/N153</f>
        <v>0.116211423251599</v>
      </c>
      <c r="BG153" s="197" t="n">
        <f aca="false">Algae_yield_cost_factor/O153</f>
        <v>0.111710761164965</v>
      </c>
      <c r="BH153" s="197" t="n">
        <f aca="false">Algae_yield_cost_factor/P153</f>
        <v>0.105737746521801</v>
      </c>
      <c r="BI153" s="197" t="n">
        <f aca="false">Algae_yield_cost_factor/Q153</f>
        <v>0.0985285910063213</v>
      </c>
      <c r="BJ153" s="197" t="n">
        <f aca="false">Algae_yield_cost_factor/R153</f>
        <v>0.0907610302541745</v>
      </c>
      <c r="BK153" s="197" t="n">
        <f aca="false">Algae_yield_cost_factor/S153</f>
        <v>0.0833513402114295</v>
      </c>
      <c r="BL153" s="197" t="n">
        <f aca="false">Algae_yield_cost_factor/T153</f>
        <v>0.077060181363393</v>
      </c>
      <c r="BM153" s="197" t="n">
        <f aca="false">Algae_yield_cost_factor/U153</f>
        <v>0.0722257535710277</v>
      </c>
      <c r="BN153" s="197" t="n">
        <f aca="false">Algae_yield_cost_factor/V153</f>
        <v>0.0687878334311644</v>
      </c>
      <c r="BO153" s="197" t="n">
        <f aca="false">Algae_yield_cost_factor/W153</f>
        <v>0.0664755447469993</v>
      </c>
      <c r="BP153" s="197" t="n">
        <f aca="false">Algae_yield_cost_factor/X153</f>
        <v>0.0649780639966157</v>
      </c>
      <c r="BQ153" s="197" t="n">
        <f aca="false">Algae_yield_cost_factor/Y153</f>
        <v>0.0640318892889408</v>
      </c>
      <c r="BR153" s="197" t="n">
        <f aca="false">Algae_yield_cost_factor/Z153</f>
        <v>0.063443338040715</v>
      </c>
      <c r="BS153" s="197" t="n">
        <f aca="false">Algae_yield_cost_factor/AA153</f>
        <v>0.0630807973918047</v>
      </c>
      <c r="BT153" s="197" t="n">
        <f aca="false">Algae_yield_cost_factor/AB153</f>
        <v>0.062858818273672</v>
      </c>
      <c r="BU153" s="197" t="n">
        <f aca="false">Algae_yield_cost_factor/AC153</f>
        <v>0.0627234043559812</v>
      </c>
    </row>
    <row r="154" customFormat="false" ht="15" hidden="false" customHeight="false" outlineLevel="0" collapsed="false">
      <c r="A154" s="18" t="s">
        <v>714</v>
      </c>
      <c r="B154" s="18" t="s">
        <v>22</v>
      </c>
      <c r="C154" s="18" t="s">
        <v>694</v>
      </c>
      <c r="D154" s="18" t="s">
        <v>694</v>
      </c>
      <c r="E154" s="28" t="n">
        <v>6.276175</v>
      </c>
      <c r="F154" s="185" t="n">
        <f aca="false">E154/$B$2*$F$3/1000</f>
        <v>0.01537662875</v>
      </c>
      <c r="G154" s="18" t="n">
        <f aca="false">LOOKUP(RIGHT(D154,5),Ref!$C$4:$C$21,Ref!$E$4:$E$21)*$G$3</f>
        <v>3</v>
      </c>
      <c r="H154" s="218" t="n">
        <f aca="false">$E154</f>
        <v>6.276175</v>
      </c>
      <c r="I154" s="177" t="n">
        <f aca="false">$E154</f>
        <v>6.276175</v>
      </c>
      <c r="J154" s="177" t="n">
        <f aca="false">$E154</f>
        <v>6.276175</v>
      </c>
      <c r="K154" s="177" t="n">
        <f aca="false">$E154</f>
        <v>6.276175</v>
      </c>
      <c r="L154" s="177" t="n">
        <f aca="false">$E154</f>
        <v>6.276175</v>
      </c>
      <c r="M154" s="177" t="n">
        <f aca="false">M$3*$E154</f>
        <v>6.57382807959022</v>
      </c>
      <c r="N154" s="177" t="n">
        <f aca="false">N$3*$E154</f>
        <v>6.75227421299483</v>
      </c>
      <c r="O154" s="177" t="n">
        <f aca="false">O$3*$E154</f>
        <v>7.02431339912216</v>
      </c>
      <c r="P154" s="177" t="n">
        <f aca="false">P$3*$E154</f>
        <v>7.42110951187536</v>
      </c>
      <c r="Q154" s="177" t="n">
        <f aca="false">Q$3*$E154</f>
        <v>7.96409842526683</v>
      </c>
      <c r="R154" s="177" t="n">
        <f aca="false">R$3*$E154</f>
        <v>8.6456863069942</v>
      </c>
      <c r="S154" s="177" t="n">
        <f aca="false">S$3*$E154</f>
        <v>9.4142625</v>
      </c>
      <c r="T154" s="177" t="n">
        <f aca="false">T$3*$E154</f>
        <v>10.1828386930058</v>
      </c>
      <c r="U154" s="177" t="n">
        <f aca="false">U$3*$E154</f>
        <v>10.8644265747332</v>
      </c>
      <c r="V154" s="177" t="n">
        <f aca="false">V$3*$E154</f>
        <v>11.4074154881246</v>
      </c>
      <c r="W154" s="177" t="n">
        <f aca="false">W$3*$E154</f>
        <v>11.8042116008778</v>
      </c>
      <c r="X154" s="177" t="n">
        <f aca="false">X$3*$E154</f>
        <v>12.0762507870052</v>
      </c>
      <c r="Y154" s="177" t="n">
        <f aca="false">Y$3*$E154</f>
        <v>12.2546969204098</v>
      </c>
      <c r="Z154" s="177" t="n">
        <f aca="false">Z$3*$E154</f>
        <v>12.3683813101641</v>
      </c>
      <c r="AA154" s="177" t="n">
        <f aca="false">AA$3*$E154</f>
        <v>12.4394653986912</v>
      </c>
      <c r="AB154" s="177" t="n">
        <f aca="false">AB$3*$E154</f>
        <v>12.4833940253354</v>
      </c>
      <c r="AC154" s="177" t="n">
        <f aca="false">AC$3*$E154</f>
        <v>12.5103444963503</v>
      </c>
      <c r="AD154" s="219" t="n">
        <f aca="false">Algae_electricity_factor/H154</f>
        <v>0.00218980463475433</v>
      </c>
      <c r="AE154" s="220" t="n">
        <f aca="false">Algae_electricity_factor/I154</f>
        <v>0.00218980463475433</v>
      </c>
      <c r="AF154" s="220" t="n">
        <f aca="false">Algae_electricity_factor/J154</f>
        <v>0.00218980463475433</v>
      </c>
      <c r="AG154" s="220" t="n">
        <f aca="false">Algae_electricity_factor/K154</f>
        <v>0.00218980463475433</v>
      </c>
      <c r="AH154" s="220" t="n">
        <f aca="false">Algae_electricity_factor/L154</f>
        <v>0.00218980463475433</v>
      </c>
      <c r="AI154" s="220" t="n">
        <f aca="false">Algae_electricity_factor/M154</f>
        <v>0.0020906535639712</v>
      </c>
      <c r="AJ154" s="220" t="n">
        <f aca="false">Algae_electricity_factor/N154</f>
        <v>0.0020354026910044</v>
      </c>
      <c r="AK154" s="220" t="n">
        <f aca="false">Algae_electricity_factor/O154</f>
        <v>0.00195657515868338</v>
      </c>
      <c r="AL154" s="220" t="n">
        <f aca="false">Algae_electricity_factor/P154</f>
        <v>0.00185195988302512</v>
      </c>
      <c r="AM154" s="220" t="n">
        <f aca="false">Algae_electricity_factor/Q154</f>
        <v>0.00172569402958738</v>
      </c>
      <c r="AN154" s="220" t="n">
        <f aca="false">Algae_electricity_factor/R154</f>
        <v>0.0015896479024934</v>
      </c>
      <c r="AO154" s="220" t="n">
        <f aca="false">Algae_electricity_factor/S154</f>
        <v>0.00145986975650289</v>
      </c>
      <c r="AP154" s="220" t="n">
        <f aca="false">Algae_electricity_factor/T154</f>
        <v>0.00134968229566174</v>
      </c>
      <c r="AQ154" s="220" t="n">
        <f aca="false">Algae_electricity_factor/U154</f>
        <v>0.00126500897299928</v>
      </c>
      <c r="AR154" s="220" t="n">
        <f aca="false">Algae_electricity_factor/V154</f>
        <v>0.00120479499653858</v>
      </c>
      <c r="AS154" s="220" t="n">
        <f aca="false">Algae_electricity_factor/W154</f>
        <v>0.00116429606383091</v>
      </c>
      <c r="AT154" s="220" t="n">
        <f aca="false">Algae_electricity_factor/X154</f>
        <v>0.00113806820891118</v>
      </c>
      <c r="AU154" s="220" t="n">
        <f aca="false">Algae_electricity_factor/Y154</f>
        <v>0.00112149628773273</v>
      </c>
      <c r="AV154" s="220" t="n">
        <f aca="false">Algae_electricity_factor/Z154</f>
        <v>0.00111118801716074</v>
      </c>
      <c r="AW154" s="220" t="n">
        <f aca="false">Algae_electricity_factor/AA154</f>
        <v>0.00110483824368974</v>
      </c>
      <c r="AX154" s="220" t="n">
        <f aca="false">Algae_electricity_factor/AB154</f>
        <v>0.00110095035658061</v>
      </c>
      <c r="AY154" s="220" t="n">
        <f aca="false">Algae_electricity_factor/AC154</f>
        <v>0.00109857862887299</v>
      </c>
      <c r="AZ154" s="221" t="n">
        <f aca="false">Algae_yield_cost_factor/H154</f>
        <v>0.121227119907622</v>
      </c>
      <c r="BA154" s="197" t="n">
        <f aca="false">Algae_yield_cost_factor/I154</f>
        <v>0.121227119907622</v>
      </c>
      <c r="BB154" s="197" t="n">
        <f aca="false">Algae_yield_cost_factor/J154</f>
        <v>0.121227119907622</v>
      </c>
      <c r="BC154" s="197" t="n">
        <f aca="false">Algae_yield_cost_factor/K154</f>
        <v>0.121227119907622</v>
      </c>
      <c r="BD154" s="197" t="n">
        <f aca="false">Algae_yield_cost_factor/L154</f>
        <v>0.121227119907622</v>
      </c>
      <c r="BE154" s="197" t="n">
        <f aca="false">Algae_yield_cost_factor/M154</f>
        <v>0.115738137668736</v>
      </c>
      <c r="BF154" s="197" t="n">
        <f aca="false">Algae_yield_cost_factor/N154</f>
        <v>0.112679461065424</v>
      </c>
      <c r="BG154" s="197" t="n">
        <f aca="false">Algae_yield_cost_factor/O154</f>
        <v>0.108315585603185</v>
      </c>
      <c r="BH154" s="197" t="n">
        <f aca="false">Algae_yield_cost_factor/P154</f>
        <v>0.102524106141906</v>
      </c>
      <c r="BI154" s="197" t="n">
        <f aca="false">Algae_yield_cost_factor/Q154</f>
        <v>0.0955340552889672</v>
      </c>
      <c r="BJ154" s="197" t="n">
        <f aca="false">Algae_yield_cost_factor/R154</f>
        <v>0.0880025705617737</v>
      </c>
      <c r="BK154" s="197" t="n">
        <f aca="false">Algae_yield_cost_factor/S154</f>
        <v>0.0808180799384145</v>
      </c>
      <c r="BL154" s="197" t="n">
        <f aca="false">Algae_yield_cost_factor/T154</f>
        <v>0.0747181254878182</v>
      </c>
      <c r="BM154" s="197" t="n">
        <f aca="false">Algae_yield_cost_factor/U154</f>
        <v>0.0700306283127422</v>
      </c>
      <c r="BN154" s="197" t="n">
        <f aca="false">Algae_yield_cost_factor/V154</f>
        <v>0.0666971953531693</v>
      </c>
      <c r="BO154" s="197" t="n">
        <f aca="false">Algae_yield_cost_factor/W154</f>
        <v>0.0644551830322693</v>
      </c>
      <c r="BP154" s="197" t="n">
        <f aca="false">Algae_yield_cost_factor/X154</f>
        <v>0.0630032145494141</v>
      </c>
      <c r="BQ154" s="197" t="n">
        <f aca="false">Algae_yield_cost_factor/Y154</f>
        <v>0.0620857965095049</v>
      </c>
      <c r="BR154" s="197" t="n">
        <f aca="false">Algae_yield_cost_factor/Z154</f>
        <v>0.0615151328380353</v>
      </c>
      <c r="BS154" s="197" t="n">
        <f aca="false">Algae_yield_cost_factor/AA154</f>
        <v>0.0611636107260904</v>
      </c>
      <c r="BT154" s="197" t="n">
        <f aca="false">Algae_yield_cost_factor/AB154</f>
        <v>0.0609483781207309</v>
      </c>
      <c r="BU154" s="197" t="n">
        <f aca="false">Algae_yield_cost_factor/AC154</f>
        <v>0.0608170797781135</v>
      </c>
    </row>
    <row r="155" customFormat="false" ht="15" hidden="false" customHeight="false" outlineLevel="0" collapsed="false">
      <c r="A155" s="18" t="s">
        <v>714</v>
      </c>
      <c r="B155" s="18" t="s">
        <v>22</v>
      </c>
      <c r="C155" s="18" t="s">
        <v>682</v>
      </c>
      <c r="D155" s="18" t="s">
        <v>682</v>
      </c>
      <c r="E155" s="28" t="n">
        <v>6.291505</v>
      </c>
      <c r="F155" s="185" t="n">
        <f aca="false">E155/$B$2*$F$3/1000</f>
        <v>0.01541418725</v>
      </c>
      <c r="G155" s="18" t="n">
        <f aca="false">LOOKUP(RIGHT(D155,5),Ref!$C$4:$C$21,Ref!$E$4:$E$21)*$G$3</f>
        <v>3</v>
      </c>
      <c r="H155" s="218" t="n">
        <f aca="false">$E155</f>
        <v>6.291505</v>
      </c>
      <c r="I155" s="177" t="n">
        <f aca="false">$E155</f>
        <v>6.291505</v>
      </c>
      <c r="J155" s="177" t="n">
        <f aca="false">$E155</f>
        <v>6.291505</v>
      </c>
      <c r="K155" s="177" t="n">
        <f aca="false">$E155</f>
        <v>6.291505</v>
      </c>
      <c r="L155" s="177" t="n">
        <f aca="false">$E155</f>
        <v>6.291505</v>
      </c>
      <c r="M155" s="177" t="n">
        <f aca="false">M$3*$E155</f>
        <v>6.58988511822603</v>
      </c>
      <c r="N155" s="177" t="n">
        <f aca="false">N$3*$E155</f>
        <v>6.76876711889455</v>
      </c>
      <c r="O155" s="177" t="n">
        <f aca="false">O$3*$E155</f>
        <v>7.04147077991676</v>
      </c>
      <c r="P155" s="177" t="n">
        <f aca="false">P$3*$E155</f>
        <v>7.43923609515531</v>
      </c>
      <c r="Q155" s="177" t="n">
        <f aca="false">Q$3*$E155</f>
        <v>7.98355129725643</v>
      </c>
      <c r="R155" s="177" t="n">
        <f aca="false">R$3*$E155</f>
        <v>8.66680400544688</v>
      </c>
      <c r="S155" s="177" t="n">
        <f aca="false">S$3*$E155</f>
        <v>9.4372575</v>
      </c>
      <c r="T155" s="177" t="n">
        <f aca="false">T$3*$E155</f>
        <v>10.2077109945531</v>
      </c>
      <c r="U155" s="177" t="n">
        <f aca="false">U$3*$E155</f>
        <v>10.8909637027436</v>
      </c>
      <c r="V155" s="177" t="n">
        <f aca="false">V$3*$E155</f>
        <v>11.4352789048447</v>
      </c>
      <c r="W155" s="177" t="n">
        <f aca="false">W$3*$E155</f>
        <v>11.8330442200832</v>
      </c>
      <c r="X155" s="177" t="n">
        <f aca="false">X$3*$E155</f>
        <v>12.1057478811054</v>
      </c>
      <c r="Y155" s="177" t="n">
        <f aca="false">Y$3*$E155</f>
        <v>12.284629881774</v>
      </c>
      <c r="Z155" s="177" t="n">
        <f aca="false">Z$3*$E155</f>
        <v>12.3985919536667</v>
      </c>
      <c r="AA155" s="177" t="n">
        <f aca="false">AA$3*$E155</f>
        <v>12.4698496700925</v>
      </c>
      <c r="AB155" s="177" t="n">
        <f aca="false">AB$3*$E155</f>
        <v>12.5138855955049</v>
      </c>
      <c r="AC155" s="177" t="n">
        <f aca="false">AC$3*$E155</f>
        <v>12.5409018949456</v>
      </c>
      <c r="AD155" s="219" t="n">
        <f aca="false">Algae_electricity_factor/H155</f>
        <v>0.00218446891539135</v>
      </c>
      <c r="AE155" s="220" t="n">
        <f aca="false">Algae_electricity_factor/I155</f>
        <v>0.00218446891539135</v>
      </c>
      <c r="AF155" s="220" t="n">
        <f aca="false">Algae_electricity_factor/J155</f>
        <v>0.00218446891539135</v>
      </c>
      <c r="AG155" s="220" t="n">
        <f aca="false">Algae_electricity_factor/K155</f>
        <v>0.00218446891539135</v>
      </c>
      <c r="AH155" s="220" t="n">
        <f aca="false">Algae_electricity_factor/L155</f>
        <v>0.00218446891539135</v>
      </c>
      <c r="AI155" s="220" t="n">
        <f aca="false">Algae_electricity_factor/M155</f>
        <v>0.00208555943798137</v>
      </c>
      <c r="AJ155" s="220" t="n">
        <f aca="false">Algae_electricity_factor/N155</f>
        <v>0.00203044319033594</v>
      </c>
      <c r="AK155" s="220" t="n">
        <f aca="false">Algae_electricity_factor/O155</f>
        <v>0.00195180773067011</v>
      </c>
      <c r="AL155" s="220" t="n">
        <f aca="false">Algae_electricity_factor/P155</f>
        <v>0.00184744736256987</v>
      </c>
      <c r="AM155" s="220" t="n">
        <f aca="false">Algae_electricity_factor/Q155</f>
        <v>0.0017214891708972</v>
      </c>
      <c r="AN155" s="220" t="n">
        <f aca="false">Algae_electricity_factor/R155</f>
        <v>0.00158577453636793</v>
      </c>
      <c r="AO155" s="220" t="n">
        <f aca="false">Algae_electricity_factor/S155</f>
        <v>0.0014563126102609</v>
      </c>
      <c r="AP155" s="220" t="n">
        <f aca="false">Algae_electricity_factor/T155</f>
        <v>0.00134639363426951</v>
      </c>
      <c r="AQ155" s="220" t="n">
        <f aca="false">Algae_electricity_factor/U155</f>
        <v>0.00126192662822548</v>
      </c>
      <c r="AR155" s="220" t="n">
        <f aca="false">Algae_electricity_factor/V155</f>
        <v>0.00120185937027794</v>
      </c>
      <c r="AS155" s="220" t="n">
        <f aca="false">Algae_electricity_factor/W155</f>
        <v>0.00116145911803519</v>
      </c>
      <c r="AT155" s="220" t="n">
        <f aca="false">Algae_electricity_factor/X155</f>
        <v>0.0011352951704025</v>
      </c>
      <c r="AU155" s="220" t="n">
        <f aca="false">Algae_electricity_factor/Y155</f>
        <v>0.00111876362868041</v>
      </c>
      <c r="AV155" s="220" t="n">
        <f aca="false">Algae_electricity_factor/Z155</f>
        <v>0.00110848047543534</v>
      </c>
      <c r="AW155" s="220" t="n">
        <f aca="false">Algae_electricity_factor/AA155</f>
        <v>0.0011021461739424</v>
      </c>
      <c r="AX155" s="220" t="n">
        <f aca="false">Algae_electricity_factor/AB155</f>
        <v>0.00109826776013248</v>
      </c>
      <c r="AY155" s="220" t="n">
        <f aca="false">Algae_electricity_factor/AC155</f>
        <v>0.00109590181142142</v>
      </c>
      <c r="AZ155" s="221" t="n">
        <f aca="false">Algae_yield_cost_factor/H155</f>
        <v>0.120931735615917</v>
      </c>
      <c r="BA155" s="197" t="n">
        <f aca="false">Algae_yield_cost_factor/I155</f>
        <v>0.120931735615917</v>
      </c>
      <c r="BB155" s="197" t="n">
        <f aca="false">Algae_yield_cost_factor/J155</f>
        <v>0.120931735615917</v>
      </c>
      <c r="BC155" s="197" t="n">
        <f aca="false">Algae_yield_cost_factor/K155</f>
        <v>0.120931735615917</v>
      </c>
      <c r="BD155" s="197" t="n">
        <f aca="false">Algae_yield_cost_factor/L155</f>
        <v>0.120931735615917</v>
      </c>
      <c r="BE155" s="197" t="n">
        <f aca="false">Algae_yield_cost_factor/M155</f>
        <v>0.115456127934903</v>
      </c>
      <c r="BF155" s="197" t="n">
        <f aca="false">Algae_yield_cost_factor/N155</f>
        <v>0.112404904160815</v>
      </c>
      <c r="BG155" s="197" t="n">
        <f aca="false">Algae_yield_cost_factor/O155</f>
        <v>0.10805166180001</v>
      </c>
      <c r="BH155" s="197" t="n">
        <f aca="false">Algae_yield_cost_factor/P155</f>
        <v>0.102274293967052</v>
      </c>
      <c r="BI155" s="197" t="n">
        <f aca="false">Algae_yield_cost_factor/Q155</f>
        <v>0.0953012752041417</v>
      </c>
      <c r="BJ155" s="197" t="n">
        <f aca="false">Algae_yield_cost_factor/R155</f>
        <v>0.0877881418349886</v>
      </c>
      <c r="BK155" s="197" t="n">
        <f aca="false">Algae_yield_cost_factor/S155</f>
        <v>0.0806211570772778</v>
      </c>
      <c r="BL155" s="197" t="n">
        <f aca="false">Algae_yield_cost_factor/T155</f>
        <v>0.0745360658909923</v>
      </c>
      <c r="BM155" s="197" t="n">
        <f aca="false">Algae_yield_cost_factor/U155</f>
        <v>0.0698599903601324</v>
      </c>
      <c r="BN155" s="197" t="n">
        <f aca="false">Algae_yield_cost_factor/V155</f>
        <v>0.0665346797063146</v>
      </c>
      <c r="BO155" s="197" t="n">
        <f aca="false">Algae_yield_cost_factor/W155</f>
        <v>0.0642981303150125</v>
      </c>
      <c r="BP155" s="197" t="n">
        <f aca="false">Algae_yield_cost_factor/X155</f>
        <v>0.0628496997260066</v>
      </c>
      <c r="BQ155" s="197" t="n">
        <f aca="false">Algae_yield_cost_factor/Y155</f>
        <v>0.0619345170842337</v>
      </c>
      <c r="BR155" s="197" t="n">
        <f aca="false">Algae_yield_cost_factor/Z155</f>
        <v>0.0613652439026522</v>
      </c>
      <c r="BS155" s="197" t="n">
        <f aca="false">Algae_yield_cost_factor/AA155</f>
        <v>0.0610145783161295</v>
      </c>
      <c r="BT155" s="197" t="n">
        <f aca="false">Algae_yield_cost_factor/AB155</f>
        <v>0.0607998701506044</v>
      </c>
      <c r="BU155" s="197" t="n">
        <f aca="false">Algae_yield_cost_factor/AC155</f>
        <v>0.0606688917320103</v>
      </c>
    </row>
    <row r="156" customFormat="false" ht="15" hidden="false" customHeight="false" outlineLevel="0" collapsed="false">
      <c r="A156" s="18" t="s">
        <v>714</v>
      </c>
      <c r="B156" s="18" t="s">
        <v>22</v>
      </c>
      <c r="C156" s="18" t="s">
        <v>683</v>
      </c>
      <c r="D156" s="18" t="s">
        <v>683</v>
      </c>
      <c r="E156" s="28" t="n">
        <v>6.558685</v>
      </c>
      <c r="F156" s="185" t="n">
        <f aca="false">E156/$B$2*$F$3/1000</f>
        <v>0.01606877825</v>
      </c>
      <c r="G156" s="18" t="n">
        <f aca="false">LOOKUP(RIGHT(D156,5),Ref!$C$4:$C$21,Ref!$E$4:$E$21)*$G$3</f>
        <v>3</v>
      </c>
      <c r="H156" s="218" t="n">
        <f aca="false">$E156</f>
        <v>6.558685</v>
      </c>
      <c r="I156" s="177" t="n">
        <f aca="false">$E156</f>
        <v>6.558685</v>
      </c>
      <c r="J156" s="177" t="n">
        <f aca="false">$E156</f>
        <v>6.558685</v>
      </c>
      <c r="K156" s="177" t="n">
        <f aca="false">$E156</f>
        <v>6.558685</v>
      </c>
      <c r="L156" s="177" t="n">
        <f aca="false">$E156</f>
        <v>6.558685</v>
      </c>
      <c r="M156" s="177" t="n">
        <f aca="false">M$3*$E156</f>
        <v>6.86973636302161</v>
      </c>
      <c r="N156" s="177" t="n">
        <f aca="false">N$3*$E156</f>
        <v>7.05621490743263</v>
      </c>
      <c r="O156" s="177" t="n">
        <f aca="false">O$3*$E156</f>
        <v>7.34049941662263</v>
      </c>
      <c r="P156" s="177" t="n">
        <f aca="false">P$3*$E156</f>
        <v>7.75515654660589</v>
      </c>
      <c r="Q156" s="177" t="n">
        <f aca="false">Q$3*$E156</f>
        <v>8.32258706621807</v>
      </c>
      <c r="R156" s="177" t="n">
        <f aca="false">R$3*$E156</f>
        <v>9.03485532133636</v>
      </c>
      <c r="S156" s="177" t="n">
        <f aca="false">S$3*$E156</f>
        <v>9.8380275</v>
      </c>
      <c r="T156" s="177" t="n">
        <f aca="false">T$3*$E156</f>
        <v>10.6411996786636</v>
      </c>
      <c r="U156" s="177" t="n">
        <f aca="false">U$3*$E156</f>
        <v>11.3534679337819</v>
      </c>
      <c r="V156" s="177" t="n">
        <f aca="false">V$3*$E156</f>
        <v>11.9208984533941</v>
      </c>
      <c r="W156" s="177" t="n">
        <f aca="false">W$3*$E156</f>
        <v>12.3355555833774</v>
      </c>
      <c r="X156" s="177" t="n">
        <f aca="false">X$3*$E156</f>
        <v>12.6198400925674</v>
      </c>
      <c r="Y156" s="177" t="n">
        <f aca="false">Y$3*$E156</f>
        <v>12.8063186369784</v>
      </c>
      <c r="Z156" s="177" t="n">
        <f aca="false">Z$3*$E156</f>
        <v>12.9251203118545</v>
      </c>
      <c r="AA156" s="177" t="n">
        <f aca="false">AA$3*$E156</f>
        <v>12.9994041145148</v>
      </c>
      <c r="AB156" s="177" t="n">
        <f aca="false">AB$3*$E156</f>
        <v>13.0453101041729</v>
      </c>
      <c r="AC156" s="177" t="n">
        <f aca="false">AC$3*$E156</f>
        <v>13.0734736990357</v>
      </c>
      <c r="AD156" s="219" t="n">
        <f aca="false">Algae_electricity_factor/H156</f>
        <v>0.00209548058849133</v>
      </c>
      <c r="AE156" s="220" t="n">
        <f aca="false">Algae_electricity_factor/I156</f>
        <v>0.00209548058849133</v>
      </c>
      <c r="AF156" s="220" t="n">
        <f aca="false">Algae_electricity_factor/J156</f>
        <v>0.00209548058849133</v>
      </c>
      <c r="AG156" s="220" t="n">
        <f aca="false">Algae_electricity_factor/K156</f>
        <v>0.00209548058849133</v>
      </c>
      <c r="AH156" s="220" t="n">
        <f aca="false">Algae_electricity_factor/L156</f>
        <v>0.00209548058849133</v>
      </c>
      <c r="AI156" s="220" t="n">
        <f aca="false">Algae_electricity_factor/M156</f>
        <v>0.00200060036910707</v>
      </c>
      <c r="AJ156" s="220" t="n">
        <f aca="false">Algae_electricity_factor/N156</f>
        <v>0.00194772938237078</v>
      </c>
      <c r="AK156" s="220" t="n">
        <f aca="false">Algae_electricity_factor/O156</f>
        <v>0.00187229728162729</v>
      </c>
      <c r="AL156" s="220" t="n">
        <f aca="false">Algae_electricity_factor/P156</f>
        <v>0.00177218822353035</v>
      </c>
      <c r="AM156" s="220" t="n">
        <f aca="false">Algae_electricity_factor/Q156</f>
        <v>0.00165136116861011</v>
      </c>
      <c r="AN156" s="220" t="n">
        <f aca="false">Algae_electricity_factor/R156</f>
        <v>0.00152117511733397</v>
      </c>
      <c r="AO156" s="220" t="n">
        <f aca="false">Algae_electricity_factor/S156</f>
        <v>0.00139698705899422</v>
      </c>
      <c r="AP156" s="220" t="n">
        <f aca="false">Algae_electricity_factor/T156</f>
        <v>0.00129154583304044</v>
      </c>
      <c r="AQ156" s="220" t="n">
        <f aca="false">Algae_electricity_factor/U156</f>
        <v>0.00121051974460029</v>
      </c>
      <c r="AR156" s="220" t="n">
        <f aca="false">Algae_electricity_factor/V156</f>
        <v>0.00115289943599983</v>
      </c>
      <c r="AS156" s="220" t="n">
        <f aca="false">Algae_electricity_factor/W156</f>
        <v>0.0011141449617437</v>
      </c>
      <c r="AT156" s="220" t="n">
        <f aca="false">Algae_electricity_factor/X156</f>
        <v>0.00108904685025476</v>
      </c>
      <c r="AU156" s="220" t="n">
        <f aca="false">Algae_electricity_factor/Y156</f>
        <v>0.00107318875104704</v>
      </c>
      <c r="AV156" s="220" t="n">
        <f aca="false">Algae_electricity_factor/Z156</f>
        <v>0.00106332450081134</v>
      </c>
      <c r="AW156" s="220" t="n">
        <f aca="false">Algae_electricity_factor/AA156</f>
        <v>0.00105724823864684</v>
      </c>
      <c r="AX156" s="220" t="n">
        <f aca="false">Algae_electricity_factor/AB156</f>
        <v>0.00105352781909976</v>
      </c>
      <c r="AY156" s="220" t="n">
        <f aca="false">Algae_electricity_factor/AC156</f>
        <v>0.00105125825162619</v>
      </c>
      <c r="AZ156" s="221" t="n">
        <f aca="false">Algae_yield_cost_factor/H156</f>
        <v>0.116005360721885</v>
      </c>
      <c r="BA156" s="197" t="n">
        <f aca="false">Algae_yield_cost_factor/I156</f>
        <v>0.116005360721885</v>
      </c>
      <c r="BB156" s="197" t="n">
        <f aca="false">Algae_yield_cost_factor/J156</f>
        <v>0.116005360721885</v>
      </c>
      <c r="BC156" s="197" t="n">
        <f aca="false">Algae_yield_cost_factor/K156</f>
        <v>0.116005360721885</v>
      </c>
      <c r="BD156" s="197" t="n">
        <f aca="false">Algae_yield_cost_factor/L156</f>
        <v>0.116005360721885</v>
      </c>
      <c r="BE156" s="197" t="n">
        <f aca="false">Algae_yield_cost_factor/M156</f>
        <v>0.110752811910174</v>
      </c>
      <c r="BF156" s="197" t="n">
        <f aca="false">Algae_yield_cost_factor/N156</f>
        <v>0.107825885303577</v>
      </c>
      <c r="BG156" s="197" t="n">
        <f aca="false">Algae_yield_cost_factor/O156</f>
        <v>0.103649980212965</v>
      </c>
      <c r="BH156" s="197" t="n">
        <f aca="false">Algae_yield_cost_factor/P156</f>
        <v>0.0981079639996703</v>
      </c>
      <c r="BI156" s="197" t="n">
        <f aca="false">Algae_yield_cost_factor/Q156</f>
        <v>0.091419003878557</v>
      </c>
      <c r="BJ156" s="197" t="n">
        <f aca="false">Algae_yield_cost_factor/R156</f>
        <v>0.0842119317051421</v>
      </c>
      <c r="BK156" s="197" t="n">
        <f aca="false">Algae_yield_cost_factor/S156</f>
        <v>0.0773369071479235</v>
      </c>
      <c r="BL156" s="197" t="n">
        <f aca="false">Algae_yield_cost_factor/T156</f>
        <v>0.0714997032535497</v>
      </c>
      <c r="BM156" s="197" t="n">
        <f aca="false">Algae_yield_cost_factor/U156</f>
        <v>0.0670141161910848</v>
      </c>
      <c r="BN156" s="197" t="n">
        <f aca="false">Algae_yield_cost_factor/V156</f>
        <v>0.0638242681338831</v>
      </c>
      <c r="BO156" s="197" t="n">
        <f aca="false">Algae_yield_cost_factor/W156</f>
        <v>0.0616788286626897</v>
      </c>
      <c r="BP156" s="197" t="n">
        <f aca="false">Algae_yield_cost_factor/X156</f>
        <v>0.0602894025364336</v>
      </c>
      <c r="BQ156" s="197" t="n">
        <f aca="false">Algae_yield_cost_factor/Y156</f>
        <v>0.0594115015293526</v>
      </c>
      <c r="BR156" s="197" t="n">
        <f aca="false">Algae_yield_cost_factor/Z156</f>
        <v>0.0588654187294795</v>
      </c>
      <c r="BS156" s="197" t="n">
        <f aca="false">Algae_yield_cost_factor/AA156</f>
        <v>0.058529038145424</v>
      </c>
      <c r="BT156" s="197" t="n">
        <f aca="false">Algae_yield_cost_factor/AB156</f>
        <v>0.0583230765087633</v>
      </c>
      <c r="BU156" s="197" t="n">
        <f aca="false">Algae_yield_cost_factor/AC156</f>
        <v>0.0581974337350248</v>
      </c>
    </row>
    <row r="157" customFormat="false" ht="15" hidden="false" customHeight="false" outlineLevel="0" collapsed="false">
      <c r="A157" s="18" t="s">
        <v>714</v>
      </c>
      <c r="B157" s="18" t="s">
        <v>22</v>
      </c>
      <c r="C157" s="18" t="s">
        <v>684</v>
      </c>
      <c r="D157" s="18" t="s">
        <v>684</v>
      </c>
      <c r="E157" s="28" t="n">
        <v>6.474735</v>
      </c>
      <c r="F157" s="185" t="n">
        <f aca="false">E157/$B$2*$F$3/1000</f>
        <v>0.01586310075</v>
      </c>
      <c r="G157" s="18" t="n">
        <f aca="false">LOOKUP(RIGHT(D157,5),Ref!$C$4:$C$21,Ref!$E$4:$E$21)*$G$3</f>
        <v>3.5</v>
      </c>
      <c r="H157" s="218" t="n">
        <f aca="false">$E157</f>
        <v>6.474735</v>
      </c>
      <c r="I157" s="177" t="n">
        <f aca="false">$E157</f>
        <v>6.474735</v>
      </c>
      <c r="J157" s="177" t="n">
        <f aca="false">$E157</f>
        <v>6.474735</v>
      </c>
      <c r="K157" s="177" t="n">
        <f aca="false">$E157</f>
        <v>6.474735</v>
      </c>
      <c r="L157" s="177" t="n">
        <f aca="false">$E157</f>
        <v>6.474735</v>
      </c>
      <c r="M157" s="177" t="n">
        <f aca="false">M$3*$E157</f>
        <v>6.78180496096835</v>
      </c>
      <c r="N157" s="177" t="n">
        <f aca="false">N$3*$E157</f>
        <v>6.96589661321985</v>
      </c>
      <c r="O157" s="177" t="n">
        <f aca="false">O$3*$E157</f>
        <v>7.24654233131888</v>
      </c>
      <c r="P157" s="177" t="n">
        <f aca="false">P$3*$E157</f>
        <v>7.65589192388235</v>
      </c>
      <c r="Q157" s="177" t="n">
        <f aca="false">Q$3*$E157</f>
        <v>8.21605943389406</v>
      </c>
      <c r="R157" s="177" t="n">
        <f aca="false">R$3*$E157</f>
        <v>8.91921078219076</v>
      </c>
      <c r="S157" s="177" t="n">
        <f aca="false">S$3*$E157</f>
        <v>9.7121025</v>
      </c>
      <c r="T157" s="177" t="n">
        <f aca="false">T$3*$E157</f>
        <v>10.5049942178092</v>
      </c>
      <c r="U157" s="177" t="n">
        <f aca="false">U$3*$E157</f>
        <v>11.2081455661059</v>
      </c>
      <c r="V157" s="177" t="n">
        <f aca="false">V$3*$E157</f>
        <v>11.7683130761177</v>
      </c>
      <c r="W157" s="177" t="n">
        <f aca="false">W$3*$E157</f>
        <v>12.1776626686811</v>
      </c>
      <c r="X157" s="177" t="n">
        <f aca="false">X$3*$E157</f>
        <v>12.4583083867802</v>
      </c>
      <c r="Y157" s="177" t="n">
        <f aca="false">Y$3*$E157</f>
        <v>12.6424000390316</v>
      </c>
      <c r="Z157" s="177" t="n">
        <f aca="false">Z$3*$E157</f>
        <v>12.7596810736261</v>
      </c>
      <c r="AA157" s="177" t="n">
        <f aca="false">AA$3*$E157</f>
        <v>12.8330140568411</v>
      </c>
      <c r="AB157" s="177" t="n">
        <f aca="false">AB$3*$E157</f>
        <v>12.8783324580067</v>
      </c>
      <c r="AC157" s="177" t="n">
        <f aca="false">AC$3*$E157</f>
        <v>12.9061355638708</v>
      </c>
      <c r="AD157" s="219" t="n">
        <f aca="false">Algae_electricity_factor/H157</f>
        <v>0.00212265013217209</v>
      </c>
      <c r="AE157" s="220" t="n">
        <f aca="false">Algae_electricity_factor/I157</f>
        <v>0.00212265013217209</v>
      </c>
      <c r="AF157" s="220" t="n">
        <f aca="false">Algae_electricity_factor/J157</f>
        <v>0.00212265013217209</v>
      </c>
      <c r="AG157" s="220" t="n">
        <f aca="false">Algae_electricity_factor/K157</f>
        <v>0.00212265013217209</v>
      </c>
      <c r="AH157" s="220" t="n">
        <f aca="false">Algae_electricity_factor/L157</f>
        <v>0.00212265013217209</v>
      </c>
      <c r="AI157" s="220" t="n">
        <f aca="false">Algae_electricity_factor/M157</f>
        <v>0.00202653971658407</v>
      </c>
      <c r="AJ157" s="220" t="n">
        <f aca="false">Algae_electricity_factor/N157</f>
        <v>0.0019729832161802</v>
      </c>
      <c r="AK157" s="220" t="n">
        <f aca="false">Algae_electricity_factor/O157</f>
        <v>0.001896573079292</v>
      </c>
      <c r="AL157" s="220" t="n">
        <f aca="false">Algae_electricity_factor/P157</f>
        <v>0.00179516602901048</v>
      </c>
      <c r="AM157" s="220" t="n">
        <f aca="false">Algae_electricity_factor/Q157</f>
        <v>0.00167277235688343</v>
      </c>
      <c r="AN157" s="220" t="n">
        <f aca="false">Algae_electricity_factor/R157</f>
        <v>0.00154089834169762</v>
      </c>
      <c r="AO157" s="220" t="n">
        <f aca="false">Algae_electricity_factor/S157</f>
        <v>0.00141510008811473</v>
      </c>
      <c r="AP157" s="220" t="n">
        <f aca="false">Algae_electricity_factor/T157</f>
        <v>0.00130829173425242</v>
      </c>
      <c r="AQ157" s="220" t="n">
        <f aca="false">Algae_electricity_factor/U157</f>
        <v>0.00122621507924475</v>
      </c>
      <c r="AR157" s="220" t="n">
        <f aca="false">Algae_electricity_factor/V157</f>
        <v>0.00116784767830661</v>
      </c>
      <c r="AS157" s="220" t="n">
        <f aca="false">Algae_electricity_factor/W157</f>
        <v>0.00112859072200082</v>
      </c>
      <c r="AT157" s="220" t="n">
        <f aca="false">Algae_electricity_factor/X157</f>
        <v>0.00110316719387946</v>
      </c>
      <c r="AU157" s="220" t="n">
        <f aca="false">Algae_electricity_factor/Y157</f>
        <v>0.00108710348202065</v>
      </c>
      <c r="AV157" s="220" t="n">
        <f aca="false">Algae_electricity_factor/Z157</f>
        <v>0.00107711133407064</v>
      </c>
      <c r="AW157" s="220" t="n">
        <f aca="false">Algae_electricity_factor/AA157</f>
        <v>0.0010709562884179</v>
      </c>
      <c r="AX157" s="220" t="n">
        <f aca="false">Algae_electricity_factor/AB157</f>
        <v>0.00106718763072346</v>
      </c>
      <c r="AY157" s="220" t="n">
        <f aca="false">Algae_electricity_factor/AC157</f>
        <v>0.00106488863653369</v>
      </c>
      <c r="AZ157" s="221" t="n">
        <f aca="false">Algae_yield_cost_factor/H157</f>
        <v>0.117509460894727</v>
      </c>
      <c r="BA157" s="197" t="n">
        <f aca="false">Algae_yield_cost_factor/I157</f>
        <v>0.117509460894727</v>
      </c>
      <c r="BB157" s="197" t="n">
        <f aca="false">Algae_yield_cost_factor/J157</f>
        <v>0.117509460894727</v>
      </c>
      <c r="BC157" s="197" t="n">
        <f aca="false">Algae_yield_cost_factor/K157</f>
        <v>0.117509460894727</v>
      </c>
      <c r="BD157" s="197" t="n">
        <f aca="false">Algae_yield_cost_factor/L157</f>
        <v>0.117509460894727</v>
      </c>
      <c r="BE157" s="197" t="n">
        <f aca="false">Algae_yield_cost_factor/M157</f>
        <v>0.112188808682221</v>
      </c>
      <c r="BF157" s="197" t="n">
        <f aca="false">Algae_yield_cost_factor/N157</f>
        <v>0.10922393218445</v>
      </c>
      <c r="BG157" s="197" t="n">
        <f aca="false">Algae_yield_cost_factor/O157</f>
        <v>0.104993883220405</v>
      </c>
      <c r="BH157" s="197" t="n">
        <f aca="false">Algae_yield_cost_factor/P157</f>
        <v>0.0993800104352035</v>
      </c>
      <c r="BI157" s="197" t="n">
        <f aca="false">Algae_yield_cost_factor/Q157</f>
        <v>0.0926043227179543</v>
      </c>
      <c r="BJ157" s="197" t="n">
        <f aca="false">Algae_yield_cost_factor/R157</f>
        <v>0.0853038052206832</v>
      </c>
      <c r="BK157" s="197" t="n">
        <f aca="false">Algae_yield_cost_factor/S157</f>
        <v>0.0783396405964844</v>
      </c>
      <c r="BL157" s="197" t="n">
        <f aca="false">Algae_yield_cost_factor/T157</f>
        <v>0.0724267527911964</v>
      </c>
      <c r="BM157" s="197" t="n">
        <f aca="false">Algae_yield_cost_factor/U157</f>
        <v>0.0678830065864819</v>
      </c>
      <c r="BN157" s="197" t="n">
        <f aca="false">Algae_yield_cost_factor/V157</f>
        <v>0.0646517996559978</v>
      </c>
      <c r="BO157" s="197" t="n">
        <f aca="false">Algae_yield_cost_factor/W157</f>
        <v>0.062478542885161</v>
      </c>
      <c r="BP157" s="197" t="n">
        <f aca="false">Algae_yield_cost_factor/X157</f>
        <v>0.0610711017631871</v>
      </c>
      <c r="BQ157" s="197" t="n">
        <f aca="false">Algae_yield_cost_factor/Y157</f>
        <v>0.060181818083372</v>
      </c>
      <c r="BR157" s="197" t="n">
        <f aca="false">Algae_yield_cost_factor/Z157</f>
        <v>0.0596286548931742</v>
      </c>
      <c r="BS157" s="197" t="n">
        <f aca="false">Algae_yield_cost_factor/AA157</f>
        <v>0.0592879128719276</v>
      </c>
      <c r="BT157" s="197" t="n">
        <f aca="false">Algae_yield_cost_factor/AB157</f>
        <v>0.0590792807816657</v>
      </c>
      <c r="BU157" s="197" t="n">
        <f aca="false">Algae_yield_cost_factor/AC157</f>
        <v>0.0589520089511619</v>
      </c>
    </row>
    <row r="158" customFormat="false" ht="15" hidden="false" customHeight="false" outlineLevel="0" collapsed="false">
      <c r="A158" s="18" t="s">
        <v>714</v>
      </c>
      <c r="B158" s="18" t="s">
        <v>22</v>
      </c>
      <c r="C158" s="18" t="s">
        <v>685</v>
      </c>
      <c r="D158" s="18" t="s">
        <v>685</v>
      </c>
      <c r="E158" s="28" t="n">
        <v>6.294425</v>
      </c>
      <c r="F158" s="185" t="n">
        <f aca="false">E158/$B$2*$F$3/1000</f>
        <v>0.01542134125</v>
      </c>
      <c r="G158" s="18" t="n">
        <f aca="false">LOOKUP(RIGHT(D158,5),Ref!$C$4:$C$21,Ref!$E$4:$E$21)*$G$3</f>
        <v>4</v>
      </c>
      <c r="H158" s="218" t="n">
        <f aca="false">$E158</f>
        <v>6.294425</v>
      </c>
      <c r="I158" s="177" t="n">
        <f aca="false">$E158</f>
        <v>6.294425</v>
      </c>
      <c r="J158" s="177" t="n">
        <f aca="false">$E158</f>
        <v>6.294425</v>
      </c>
      <c r="K158" s="177" t="n">
        <f aca="false">$E158</f>
        <v>6.294425</v>
      </c>
      <c r="L158" s="177" t="n">
        <f aca="false">$E158</f>
        <v>6.294425</v>
      </c>
      <c r="M158" s="177" t="n">
        <f aca="false">M$3*$E158</f>
        <v>6.59294360177571</v>
      </c>
      <c r="N158" s="177" t="n">
        <f aca="false">N$3*$E158</f>
        <v>6.77190862478022</v>
      </c>
      <c r="O158" s="177" t="n">
        <f aca="false">O$3*$E158</f>
        <v>7.04473885244907</v>
      </c>
      <c r="P158" s="177" t="n">
        <f aca="false">P$3*$E158</f>
        <v>7.44268877768483</v>
      </c>
      <c r="Q158" s="177" t="n">
        <f aca="false">Q$3*$E158</f>
        <v>7.98725660620683</v>
      </c>
      <c r="R158" s="177" t="n">
        <f aca="false">R$3*$E158</f>
        <v>8.67082642419977</v>
      </c>
      <c r="S158" s="177" t="n">
        <f aca="false">S$3*$E158</f>
        <v>9.4416375</v>
      </c>
      <c r="T158" s="177" t="n">
        <f aca="false">T$3*$E158</f>
        <v>10.2124485758002</v>
      </c>
      <c r="U158" s="177" t="n">
        <f aca="false">U$3*$E158</f>
        <v>10.8960183937932</v>
      </c>
      <c r="V158" s="177" t="n">
        <f aca="false">V$3*$E158</f>
        <v>11.4405862223152</v>
      </c>
      <c r="W158" s="177" t="n">
        <f aca="false">W$3*$E158</f>
        <v>11.8385361475509</v>
      </c>
      <c r="X158" s="177" t="n">
        <f aca="false">X$3*$E158</f>
        <v>12.1113663752198</v>
      </c>
      <c r="Y158" s="177" t="n">
        <f aca="false">Y$3*$E158</f>
        <v>12.2903313982243</v>
      </c>
      <c r="Z158" s="177" t="n">
        <f aca="false">Z$3*$E158</f>
        <v>12.4043463619529</v>
      </c>
      <c r="AA158" s="177" t="n">
        <f aca="false">AA$3*$E158</f>
        <v>12.4756371503594</v>
      </c>
      <c r="AB158" s="177" t="n">
        <f aca="false">AB$3*$E158</f>
        <v>12.5196935136324</v>
      </c>
      <c r="AC158" s="177" t="n">
        <f aca="false">AC$3*$E158</f>
        <v>12.5467223518209</v>
      </c>
      <c r="AD158" s="219" t="n">
        <f aca="false">Algae_electricity_factor/H158</f>
        <v>0.00218345553462457</v>
      </c>
      <c r="AE158" s="220" t="n">
        <f aca="false">Algae_electricity_factor/I158</f>
        <v>0.00218345553462457</v>
      </c>
      <c r="AF158" s="220" t="n">
        <f aca="false">Algae_electricity_factor/J158</f>
        <v>0.00218345553462457</v>
      </c>
      <c r="AG158" s="220" t="n">
        <f aca="false">Algae_electricity_factor/K158</f>
        <v>0.00218345553462457</v>
      </c>
      <c r="AH158" s="220" t="n">
        <f aca="false">Algae_electricity_factor/L158</f>
        <v>0.00218345553462457</v>
      </c>
      <c r="AI158" s="220" t="n">
        <f aca="false">Algae_electricity_factor/M158</f>
        <v>0.00208459194157639</v>
      </c>
      <c r="AJ158" s="220" t="n">
        <f aca="false">Algae_electricity_factor/N158</f>
        <v>0.00202950126250047</v>
      </c>
      <c r="AK158" s="220" t="n">
        <f aca="false">Algae_electricity_factor/O158</f>
        <v>0.0019509022820273</v>
      </c>
      <c r="AL158" s="220" t="n">
        <f aca="false">Algae_electricity_factor/P158</f>
        <v>0.00184659032697111</v>
      </c>
      <c r="AM158" s="220" t="n">
        <f aca="false">Algae_electricity_factor/Q158</f>
        <v>0.00172069056762859</v>
      </c>
      <c r="AN158" s="220" t="n">
        <f aca="false">Algae_electricity_factor/R158</f>
        <v>0.00158503889146849</v>
      </c>
      <c r="AO158" s="220" t="n">
        <f aca="false">Algae_electricity_factor/S158</f>
        <v>0.00145563702308305</v>
      </c>
      <c r="AP158" s="220" t="n">
        <f aca="false">Algae_electricity_factor/T158</f>
        <v>0.00134576903878826</v>
      </c>
      <c r="AQ158" s="220" t="n">
        <f aca="false">Algae_electricity_factor/U158</f>
        <v>0.0012613412172063</v>
      </c>
      <c r="AR158" s="220" t="n">
        <f aca="false">Algae_electricity_factor/V158</f>
        <v>0.00120130182461472</v>
      </c>
      <c r="AS158" s="220" t="n">
        <f aca="false">Algae_electricity_factor/W158</f>
        <v>0.00116092031415324</v>
      </c>
      <c r="AT158" s="220" t="n">
        <f aca="false">Algae_electricity_factor/X158</f>
        <v>0.00113476850404336</v>
      </c>
      <c r="AU158" s="220" t="n">
        <f aca="false">Algae_electricity_factor/Y158</f>
        <v>0.00111824463134614</v>
      </c>
      <c r="AV158" s="220" t="n">
        <f aca="false">Algae_electricity_factor/Z158</f>
        <v>0.0011079662484824</v>
      </c>
      <c r="AW158" s="220" t="n">
        <f aca="false">Algae_electricity_factor/AA158</f>
        <v>0.00110163488548826</v>
      </c>
      <c r="AX158" s="220" t="n">
        <f aca="false">Algae_electricity_factor/AB158</f>
        <v>0.00109775827088452</v>
      </c>
      <c r="AY158" s="220" t="n">
        <f aca="false">Algae_electricity_factor/AC158</f>
        <v>0.00109539341974318</v>
      </c>
      <c r="AZ158" s="221" t="n">
        <f aca="false">Algae_yield_cost_factor/H158</f>
        <v>0.120875635071705</v>
      </c>
      <c r="BA158" s="197" t="n">
        <f aca="false">Algae_yield_cost_factor/I158</f>
        <v>0.120875635071705</v>
      </c>
      <c r="BB158" s="197" t="n">
        <f aca="false">Algae_yield_cost_factor/J158</f>
        <v>0.120875635071705</v>
      </c>
      <c r="BC158" s="197" t="n">
        <f aca="false">Algae_yield_cost_factor/K158</f>
        <v>0.120875635071705</v>
      </c>
      <c r="BD158" s="197" t="n">
        <f aca="false">Algae_yield_cost_factor/L158</f>
        <v>0.120875635071705</v>
      </c>
      <c r="BE158" s="197" t="n">
        <f aca="false">Algae_yield_cost_factor/M158</f>
        <v>0.115402567539224</v>
      </c>
      <c r="BF158" s="197" t="n">
        <f aca="false">Algae_yield_cost_factor/N158</f>
        <v>0.112352759235719</v>
      </c>
      <c r="BG158" s="197" t="n">
        <f aca="false">Algae_yield_cost_factor/O158</f>
        <v>0.108001536355278</v>
      </c>
      <c r="BH158" s="197" t="n">
        <f aca="false">Algae_yield_cost_factor/P158</f>
        <v>0.102226848658166</v>
      </c>
      <c r="BI158" s="197" t="n">
        <f aca="false">Algae_yield_cost_factor/Q158</f>
        <v>0.0952570646966536</v>
      </c>
      <c r="BJ158" s="197" t="n">
        <f aca="false">Algae_yield_cost_factor/R158</f>
        <v>0.0877474166894577</v>
      </c>
      <c r="BK158" s="197" t="n">
        <f aca="false">Algae_yield_cost_factor/S158</f>
        <v>0.0805837567144701</v>
      </c>
      <c r="BL158" s="197" t="n">
        <f aca="false">Algae_yield_cost_factor/T158</f>
        <v>0.0745014884176882</v>
      </c>
      <c r="BM158" s="197" t="n">
        <f aca="false">Algae_yield_cost_factor/U158</f>
        <v>0.0698275821303336</v>
      </c>
      <c r="BN158" s="197" t="n">
        <f aca="false">Algae_yield_cost_factor/V158</f>
        <v>0.0665038140967089</v>
      </c>
      <c r="BO158" s="197" t="n">
        <f aca="false">Algae_yield_cost_factor/W158</f>
        <v>0.0642683022464408</v>
      </c>
      <c r="BP158" s="197" t="n">
        <f aca="false">Algae_yield_cost_factor/X158</f>
        <v>0.0628205435881227</v>
      </c>
      <c r="BQ158" s="197" t="n">
        <f aca="false">Algae_yield_cost_factor/Y158</f>
        <v>0.0619057855019389</v>
      </c>
      <c r="BR158" s="197" t="n">
        <f aca="false">Algae_yield_cost_factor/Z158</f>
        <v>0.0613367764076553</v>
      </c>
      <c r="BS158" s="197" t="n">
        <f aca="false">Algae_yield_cost_factor/AA158</f>
        <v>0.0609862734958031</v>
      </c>
      <c r="BT158" s="197" t="n">
        <f aca="false">Algae_yield_cost_factor/AB158</f>
        <v>0.06077166493395</v>
      </c>
      <c r="BU158" s="197" t="n">
        <f aca="false">Algae_yield_cost_factor/AC158</f>
        <v>0.0606407472765823</v>
      </c>
    </row>
    <row r="159" customFormat="false" ht="15" hidden="false" customHeight="false" outlineLevel="0" collapsed="false">
      <c r="A159" s="18" t="s">
        <v>714</v>
      </c>
      <c r="B159" s="18" t="s">
        <v>22</v>
      </c>
      <c r="C159" s="18" t="s">
        <v>686</v>
      </c>
      <c r="D159" s="18" t="s">
        <v>686</v>
      </c>
      <c r="E159" s="28" t="n">
        <v>6.39699</v>
      </c>
      <c r="F159" s="185" t="n">
        <f aca="false">E159/$B$2*$F$3/1000</f>
        <v>0.0156726255</v>
      </c>
      <c r="G159" s="18" t="n">
        <f aca="false">LOOKUP(RIGHT(D159,5),Ref!$C$4:$C$21,Ref!$E$4:$E$21)*$G$3</f>
        <v>4.5</v>
      </c>
      <c r="H159" s="218" t="n">
        <f aca="false">$E159</f>
        <v>6.39699</v>
      </c>
      <c r="I159" s="177" t="n">
        <f aca="false">$E159</f>
        <v>6.39699</v>
      </c>
      <c r="J159" s="177" t="n">
        <f aca="false">$E159</f>
        <v>6.39699</v>
      </c>
      <c r="K159" s="177" t="n">
        <f aca="false">$E159</f>
        <v>6.39699</v>
      </c>
      <c r="L159" s="177" t="n">
        <f aca="false">$E159</f>
        <v>6.39699</v>
      </c>
      <c r="M159" s="177" t="n">
        <f aca="false">M$3*$E159</f>
        <v>6.70037283645816</v>
      </c>
      <c r="N159" s="177" t="n">
        <f aca="false">N$3*$E159</f>
        <v>6.88225401901409</v>
      </c>
      <c r="O159" s="177" t="n">
        <f aca="false">O$3*$E159</f>
        <v>7.15952990014627</v>
      </c>
      <c r="P159" s="177" t="n">
        <f aca="false">P$3*$E159</f>
        <v>7.56396425153402</v>
      </c>
      <c r="Q159" s="177" t="n">
        <f aca="false">Q$3*$E159</f>
        <v>8.11740558308965</v>
      </c>
      <c r="R159" s="177" t="n">
        <f aca="false">R$3*$E159</f>
        <v>8.81211388289505</v>
      </c>
      <c r="S159" s="177" t="n">
        <f aca="false">S$3*$E159</f>
        <v>9.595485</v>
      </c>
      <c r="T159" s="177" t="n">
        <f aca="false">T$3*$E159</f>
        <v>10.378856117105</v>
      </c>
      <c r="U159" s="177" t="n">
        <f aca="false">U$3*$E159</f>
        <v>11.0735644169104</v>
      </c>
      <c r="V159" s="177" t="n">
        <f aca="false">V$3*$E159</f>
        <v>11.627005748466</v>
      </c>
      <c r="W159" s="177" t="n">
        <f aca="false">W$3*$E159</f>
        <v>12.0314400998537</v>
      </c>
      <c r="X159" s="177" t="n">
        <f aca="false">X$3*$E159</f>
        <v>12.3087159809859</v>
      </c>
      <c r="Y159" s="177" t="n">
        <f aca="false">Y$3*$E159</f>
        <v>12.4905971635418</v>
      </c>
      <c r="Z159" s="177" t="n">
        <f aca="false">Z$3*$E159</f>
        <v>12.6064699530059</v>
      </c>
      <c r="AA159" s="177" t="n">
        <f aca="false">AA$3*$E159</f>
        <v>12.6789223947346</v>
      </c>
      <c r="AB159" s="177" t="n">
        <f aca="false">AB$3*$E159</f>
        <v>12.7236966378615</v>
      </c>
      <c r="AC159" s="177" t="n">
        <f aca="false">AC$3*$E159</f>
        <v>12.7511658995659</v>
      </c>
      <c r="AD159" s="219" t="n">
        <f aca="false">Algae_electricity_factor/H159</f>
        <v>0.00214844748913618</v>
      </c>
      <c r="AE159" s="220" t="n">
        <f aca="false">Algae_electricity_factor/I159</f>
        <v>0.00214844748913618</v>
      </c>
      <c r="AF159" s="220" t="n">
        <f aca="false">Algae_electricity_factor/J159</f>
        <v>0.00214844748913618</v>
      </c>
      <c r="AG159" s="220" t="n">
        <f aca="false">Algae_electricity_factor/K159</f>
        <v>0.00214844748913618</v>
      </c>
      <c r="AH159" s="220" t="n">
        <f aca="false">Algae_electricity_factor/L159</f>
        <v>0.00214844748913618</v>
      </c>
      <c r="AI159" s="220" t="n">
        <f aca="false">Algae_electricity_factor/M159</f>
        <v>0.00205116900790168</v>
      </c>
      <c r="AJ159" s="220" t="n">
        <f aca="false">Algae_electricity_factor/N159</f>
        <v>0.00199696161541827</v>
      </c>
      <c r="AK159" s="220" t="n">
        <f aca="false">Algae_electricity_factor/O159</f>
        <v>0.00191962283770174</v>
      </c>
      <c r="AL159" s="220" t="n">
        <f aca="false">Algae_electricity_factor/P159</f>
        <v>0.00181698334980126</v>
      </c>
      <c r="AM159" s="220" t="n">
        <f aca="false">Algae_electricity_factor/Q159</f>
        <v>0.00169310218183014</v>
      </c>
      <c r="AN159" s="220" t="n">
        <f aca="false">Algae_electricity_factor/R159</f>
        <v>0.00155962545266313</v>
      </c>
      <c r="AO159" s="220" t="n">
        <f aca="false">Algae_electricity_factor/S159</f>
        <v>0.00143229832609079</v>
      </c>
      <c r="AP159" s="220" t="n">
        <f aca="false">Algae_electricity_factor/T159</f>
        <v>0.00132419189055709</v>
      </c>
      <c r="AQ159" s="220" t="n">
        <f aca="false">Algae_electricity_factor/U159</f>
        <v>0.0012411177274177</v>
      </c>
      <c r="AR159" s="220" t="n">
        <f aca="false">Algae_electricity_factor/V159</f>
        <v>0.00118204096573553</v>
      </c>
      <c r="AS159" s="220" t="n">
        <f aca="false">Algae_electricity_factor/W159</f>
        <v>0.00114230690503096</v>
      </c>
      <c r="AT159" s="220" t="n">
        <f aca="false">Algae_electricity_factor/X159</f>
        <v>0.00111657439531141</v>
      </c>
      <c r="AU159" s="220" t="n">
        <f aca="false">Algae_electricity_factor/Y159</f>
        <v>0.00110031545518454</v>
      </c>
      <c r="AV159" s="220" t="n">
        <f aca="false">Algae_electricity_factor/Z159</f>
        <v>0.00109020186894209</v>
      </c>
      <c r="AW159" s="220" t="n">
        <f aca="false">Algae_electricity_factor/AA159</f>
        <v>0.00108397201872904</v>
      </c>
      <c r="AX159" s="220" t="n">
        <f aca="false">Algae_electricity_factor/AB159</f>
        <v>0.0010801575591352</v>
      </c>
      <c r="AY159" s="220" t="n">
        <f aca="false">Algae_electricity_factor/AC159</f>
        <v>0.00107783062441351</v>
      </c>
      <c r="AZ159" s="221" t="n">
        <f aca="false">Algae_yield_cost_factor/H159</f>
        <v>0.118937597102109</v>
      </c>
      <c r="BA159" s="197" t="n">
        <f aca="false">Algae_yield_cost_factor/I159</f>
        <v>0.118937597102109</v>
      </c>
      <c r="BB159" s="197" t="n">
        <f aca="false">Algae_yield_cost_factor/J159</f>
        <v>0.118937597102109</v>
      </c>
      <c r="BC159" s="197" t="n">
        <f aca="false">Algae_yield_cost_factor/K159</f>
        <v>0.118937597102109</v>
      </c>
      <c r="BD159" s="197" t="n">
        <f aca="false">Algae_yield_cost_factor/L159</f>
        <v>0.118937597102109</v>
      </c>
      <c r="BE159" s="197" t="n">
        <f aca="false">Algae_yield_cost_factor/M159</f>
        <v>0.113552281023275</v>
      </c>
      <c r="BF159" s="197" t="n">
        <f aca="false">Algae_yield_cost_factor/N159</f>
        <v>0.110551371278099</v>
      </c>
      <c r="BG159" s="197" t="n">
        <f aca="false">Algae_yield_cost_factor/O159</f>
        <v>0.106269912954854</v>
      </c>
      <c r="BH159" s="197" t="n">
        <f aca="false">Algae_yield_cost_factor/P159</f>
        <v>0.100587812684587</v>
      </c>
      <c r="BI159" s="197" t="n">
        <f aca="false">Algae_yield_cost_factor/Q159</f>
        <v>0.0937297775130544</v>
      </c>
      <c r="BJ159" s="197" t="n">
        <f aca="false">Algae_yield_cost_factor/R159</f>
        <v>0.0863405341098767</v>
      </c>
      <c r="BK159" s="197" t="n">
        <f aca="false">Algae_yield_cost_factor/S159</f>
        <v>0.0792917314014057</v>
      </c>
      <c r="BL159" s="197" t="n">
        <f aca="false">Algae_yield_cost_factor/T159</f>
        <v>0.0733069820702404</v>
      </c>
      <c r="BM159" s="197" t="n">
        <f aca="false">Algae_yield_cost_factor/U159</f>
        <v>0.0687080140270229</v>
      </c>
      <c r="BN159" s="197" t="n">
        <f aca="false">Algae_yield_cost_factor/V159</f>
        <v>0.0654375370362744</v>
      </c>
      <c r="BO159" s="197" t="n">
        <f aca="false">Algae_yield_cost_factor/W159</f>
        <v>0.0632378678671614</v>
      </c>
      <c r="BP159" s="197" t="n">
        <f aca="false">Algae_yield_cost_factor/X159</f>
        <v>0.0618133215894771</v>
      </c>
      <c r="BQ159" s="197" t="n">
        <f aca="false">Algae_yield_cost_factor/Y159</f>
        <v>0.0609132301141696</v>
      </c>
      <c r="BR159" s="197" t="n">
        <f aca="false">Algae_yield_cost_factor/Z159</f>
        <v>0.0603533441258711</v>
      </c>
      <c r="BS159" s="197" t="n">
        <f aca="false">Algae_yield_cost_factor/AA159</f>
        <v>0.0600084609400391</v>
      </c>
      <c r="BT159" s="197" t="n">
        <f aca="false">Algae_yield_cost_factor/AB159</f>
        <v>0.0597972932663454</v>
      </c>
      <c r="BU159" s="197" t="n">
        <f aca="false">Algae_yield_cost_factor/AC159</f>
        <v>0.0596684746539234</v>
      </c>
    </row>
    <row r="160" customFormat="false" ht="15" hidden="false" customHeight="false" outlineLevel="0" collapsed="false">
      <c r="A160" s="18" t="s">
        <v>714</v>
      </c>
      <c r="B160" s="18" t="s">
        <v>22</v>
      </c>
      <c r="C160" s="18" t="s">
        <v>687</v>
      </c>
      <c r="D160" s="18" t="s">
        <v>687</v>
      </c>
      <c r="E160" s="28" t="n">
        <v>6.2274475</v>
      </c>
      <c r="F160" s="185" t="n">
        <f aca="false">E160/$B$2*$F$3/1000</f>
        <v>0.015257246375</v>
      </c>
      <c r="G160" s="18" t="n">
        <f aca="false">LOOKUP(RIGHT(D160,5),Ref!$C$4:$C$21,Ref!$E$4:$E$21)*$G$3</f>
        <v>4.5</v>
      </c>
      <c r="H160" s="218" t="n">
        <f aca="false">$E160</f>
        <v>6.2274475</v>
      </c>
      <c r="I160" s="177" t="n">
        <f aca="false">$E160</f>
        <v>6.2274475</v>
      </c>
      <c r="J160" s="177" t="n">
        <f aca="false">$E160</f>
        <v>6.2274475</v>
      </c>
      <c r="K160" s="177" t="n">
        <f aca="false">$E160</f>
        <v>6.2274475</v>
      </c>
      <c r="L160" s="177" t="n">
        <f aca="false">$E160</f>
        <v>6.2274475</v>
      </c>
      <c r="M160" s="177" t="n">
        <f aca="false">M$3*$E160</f>
        <v>6.52278963535496</v>
      </c>
      <c r="N160" s="177" t="n">
        <f aca="false">N$3*$E160</f>
        <v>6.69985033352784</v>
      </c>
      <c r="O160" s="177" t="n">
        <f aca="false">O$3*$E160</f>
        <v>6.96977743873933</v>
      </c>
      <c r="P160" s="177" t="n">
        <f aca="false">P$3*$E160</f>
        <v>7.36349287216409</v>
      </c>
      <c r="Q160" s="177" t="n">
        <f aca="false">Q$3*$E160</f>
        <v>7.90226608215702</v>
      </c>
      <c r="R160" s="177" t="n">
        <f aca="false">R$3*$E160</f>
        <v>8.57856219405534</v>
      </c>
      <c r="S160" s="177" t="n">
        <f aca="false">S$3*$E160</f>
        <v>9.34117125</v>
      </c>
      <c r="T160" s="177" t="n">
        <f aca="false">T$3*$E160</f>
        <v>10.1037803059447</v>
      </c>
      <c r="U160" s="177" t="n">
        <f aca="false">U$3*$E160</f>
        <v>10.780076417843</v>
      </c>
      <c r="V160" s="177" t="n">
        <f aca="false">V$3*$E160</f>
        <v>11.3188496278359</v>
      </c>
      <c r="W160" s="177" t="n">
        <f aca="false">W$3*$E160</f>
        <v>11.7125650612607</v>
      </c>
      <c r="X160" s="177" t="n">
        <f aca="false">X$3*$E160</f>
        <v>11.9824921664722</v>
      </c>
      <c r="Y160" s="177" t="n">
        <f aca="false">Y$3*$E160</f>
        <v>12.159552864645</v>
      </c>
      <c r="Z160" s="177" t="n">
        <f aca="false">Z$3*$E160</f>
        <v>12.272354621888</v>
      </c>
      <c r="AA160" s="177" t="n">
        <f aca="false">AA$3*$E160</f>
        <v>12.3428868217371</v>
      </c>
      <c r="AB160" s="177" t="n">
        <f aca="false">AB$3*$E160</f>
        <v>12.3864743915825</v>
      </c>
      <c r="AC160" s="177" t="n">
        <f aca="false">AC$3*$E160</f>
        <v>12.4132156222437</v>
      </c>
      <c r="AD160" s="219" t="n">
        <f aca="false">Algae_electricity_factor/H160</f>
        <v>0.00220693905545238</v>
      </c>
      <c r="AE160" s="220" t="n">
        <f aca="false">Algae_electricity_factor/I160</f>
        <v>0.00220693905545238</v>
      </c>
      <c r="AF160" s="220" t="n">
        <f aca="false">Algae_electricity_factor/J160</f>
        <v>0.00220693905545238</v>
      </c>
      <c r="AG160" s="220" t="n">
        <f aca="false">Algae_electricity_factor/K160</f>
        <v>0.00220693905545238</v>
      </c>
      <c r="AH160" s="220" t="n">
        <f aca="false">Algae_electricity_factor/L160</f>
        <v>0.00220693905545238</v>
      </c>
      <c r="AI160" s="220" t="n">
        <f aca="false">Algae_electricity_factor/M160</f>
        <v>0.00210701216378893</v>
      </c>
      <c r="AJ160" s="220" t="n">
        <f aca="false">Algae_electricity_factor/N160</f>
        <v>0.00205132897294028</v>
      </c>
      <c r="AK160" s="220" t="n">
        <f aca="false">Algae_electricity_factor/O160</f>
        <v>0.00197188464399735</v>
      </c>
      <c r="AL160" s="220" t="n">
        <f aca="false">Algae_electricity_factor/P160</f>
        <v>0.00186645079205327</v>
      </c>
      <c r="AM160" s="220" t="n">
        <f aca="false">Algae_electricity_factor/Q160</f>
        <v>0.00173919695447382</v>
      </c>
      <c r="AN160" s="220" t="n">
        <f aca="false">Algae_electricity_factor/R160</f>
        <v>0.00160208631617232</v>
      </c>
      <c r="AO160" s="220" t="n">
        <f aca="false">Algae_electricity_factor/S160</f>
        <v>0.00147129270363492</v>
      </c>
      <c r="AP160" s="220" t="n">
        <f aca="false">Algae_electricity_factor/T160</f>
        <v>0.00136024306619603</v>
      </c>
      <c r="AQ160" s="220" t="n">
        <f aca="false">Algae_electricity_factor/U160</f>
        <v>0.00127490720573939</v>
      </c>
      <c r="AR160" s="220" t="n">
        <f aca="false">Algae_electricity_factor/V160</f>
        <v>0.00121422207692646</v>
      </c>
      <c r="AS160" s="220" t="n">
        <f aca="false">Algae_electricity_factor/W160</f>
        <v>0.00117340625487633</v>
      </c>
      <c r="AT160" s="220" t="n">
        <f aca="false">Algae_electricity_factor/X160</f>
        <v>0.00114697317658048</v>
      </c>
      <c r="AU160" s="220" t="n">
        <f aca="false">Algae_electricity_factor/Y160</f>
        <v>0.00113027158617731</v>
      </c>
      <c r="AV160" s="220" t="n">
        <f aca="false">Algae_electricity_factor/Z160</f>
        <v>0.0011198826571567</v>
      </c>
      <c r="AW160" s="220" t="n">
        <f aca="false">Algae_electricity_factor/AA160</f>
        <v>0.00111348319902969</v>
      </c>
      <c r="AX160" s="220" t="n">
        <f aca="false">Algae_electricity_factor/AB160</f>
        <v>0.0011095648906253</v>
      </c>
      <c r="AY160" s="220" t="n">
        <f aca="false">Algae_electricity_factor/AC160</f>
        <v>0.00110717460501545</v>
      </c>
      <c r="AZ160" s="221" t="n">
        <f aca="false">Algae_yield_cost_factor/H160</f>
        <v>0.122175677801574</v>
      </c>
      <c r="BA160" s="197" t="n">
        <f aca="false">Algae_yield_cost_factor/I160</f>
        <v>0.122175677801574</v>
      </c>
      <c r="BB160" s="197" t="n">
        <f aca="false">Algae_yield_cost_factor/J160</f>
        <v>0.122175677801574</v>
      </c>
      <c r="BC160" s="197" t="n">
        <f aca="false">Algae_yield_cost_factor/K160</f>
        <v>0.122175677801574</v>
      </c>
      <c r="BD160" s="197" t="n">
        <f aca="false">Algae_yield_cost_factor/L160</f>
        <v>0.122175677801574</v>
      </c>
      <c r="BE160" s="197" t="n">
        <f aca="false">Algae_yield_cost_factor/M160</f>
        <v>0.116643746283382</v>
      </c>
      <c r="BF160" s="197" t="n">
        <f aca="false">Algae_yield_cost_factor/N160</f>
        <v>0.113561136653868</v>
      </c>
      <c r="BG160" s="197" t="n">
        <f aca="false">Algae_yield_cost_factor/O160</f>
        <v>0.109163115461523</v>
      </c>
      <c r="BH160" s="197" t="n">
        <f aca="false">Algae_yield_cost_factor/P160</f>
        <v>0.103326319790761</v>
      </c>
      <c r="BI160" s="197" t="n">
        <f aca="false">Algae_yield_cost_factor/Q160</f>
        <v>0.0962815743453853</v>
      </c>
      <c r="BJ160" s="197" t="n">
        <f aca="false">Algae_yield_cost_factor/R160</f>
        <v>0.0886911585036309</v>
      </c>
      <c r="BK160" s="197" t="n">
        <f aca="false">Algae_yield_cost_factor/S160</f>
        <v>0.081450451867716</v>
      </c>
      <c r="BL160" s="197" t="n">
        <f aca="false">Algae_yield_cost_factor/T160</f>
        <v>0.0753027675036212</v>
      </c>
      <c r="BM160" s="197" t="n">
        <f aca="false">Algae_yield_cost_factor/U160</f>
        <v>0.0705785923768486</v>
      </c>
      <c r="BN160" s="197" t="n">
        <f aca="false">Algae_yield_cost_factor/V160</f>
        <v>0.067219076523034</v>
      </c>
      <c r="BO160" s="197" t="n">
        <f aca="false">Algae_yield_cost_factor/W160</f>
        <v>0.0649595212753785</v>
      </c>
      <c r="BP160" s="197" t="n">
        <f aca="false">Algae_yield_cost_factor/X160</f>
        <v>0.063496191669969</v>
      </c>
      <c r="BQ160" s="197" t="n">
        <f aca="false">Algae_yield_cost_factor/Y160</f>
        <v>0.0625715951692955</v>
      </c>
      <c r="BR160" s="197" t="n">
        <f aca="false">Algae_yield_cost_factor/Z160</f>
        <v>0.0619964662632252</v>
      </c>
      <c r="BS160" s="197" t="n">
        <f aca="false">Algae_yield_cost_factor/AA160</f>
        <v>0.061642193619267</v>
      </c>
      <c r="BT160" s="197" t="n">
        <f aca="false">Algae_yield_cost_factor/AB160</f>
        <v>0.0614252768974574</v>
      </c>
      <c r="BU160" s="197" t="n">
        <f aca="false">Algae_yield_cost_factor/AC160</f>
        <v>0.0612929511933102</v>
      </c>
    </row>
    <row r="161" customFormat="false" ht="15" hidden="false" customHeight="false" outlineLevel="0" collapsed="false">
      <c r="A161" s="18" t="s">
        <v>715</v>
      </c>
      <c r="B161" s="18" t="s">
        <v>22</v>
      </c>
      <c r="C161" s="18" t="s">
        <v>690</v>
      </c>
      <c r="D161" s="18" t="s">
        <v>690</v>
      </c>
      <c r="E161" s="28" t="n">
        <v>3.628465</v>
      </c>
      <c r="F161" s="185" t="n">
        <f aca="false">E161/$B$2*$F$3/1000</f>
        <v>0.00888973925</v>
      </c>
      <c r="G161" s="18" t="n">
        <f aca="false">LOOKUP(RIGHT(D161,5),Ref!$C$4:$C$21,Ref!$E$4:$E$21)*$G$3</f>
        <v>1.5</v>
      </c>
      <c r="H161" s="218" t="n">
        <f aca="false">$E161</f>
        <v>3.628465</v>
      </c>
      <c r="I161" s="177" t="n">
        <f aca="false">$E161</f>
        <v>3.628465</v>
      </c>
      <c r="J161" s="177" t="n">
        <f aca="false">$E161</f>
        <v>3.628465</v>
      </c>
      <c r="K161" s="177" t="n">
        <f aca="false">$E161</f>
        <v>3.628465</v>
      </c>
      <c r="L161" s="177" t="n">
        <f aca="false">$E161</f>
        <v>3.628465</v>
      </c>
      <c r="M161" s="177" t="n">
        <f aca="false">M$3*$E161</f>
        <v>3.80054812091924</v>
      </c>
      <c r="N161" s="177" t="n">
        <f aca="false">N$3*$E161</f>
        <v>3.90371375117078</v>
      </c>
      <c r="O161" s="177" t="n">
        <f aca="false">O$3*$E161</f>
        <v>4.06098863045498</v>
      </c>
      <c r="P161" s="177" t="n">
        <f aca="false">P$3*$E161</f>
        <v>4.29038962823803</v>
      </c>
      <c r="Q161" s="177" t="n">
        <f aca="false">Q$3*$E161</f>
        <v>4.60430953449128</v>
      </c>
      <c r="R161" s="177" t="n">
        <f aca="false">R$3*$E161</f>
        <v>4.99835810281066</v>
      </c>
      <c r="S161" s="177" t="n">
        <f aca="false">S$3*$E161</f>
        <v>5.4426975</v>
      </c>
      <c r="T161" s="177" t="n">
        <f aca="false">T$3*$E161</f>
        <v>5.88703689718934</v>
      </c>
      <c r="U161" s="177" t="n">
        <f aca="false">U$3*$E161</f>
        <v>6.28108546550872</v>
      </c>
      <c r="V161" s="177" t="n">
        <f aca="false">V$3*$E161</f>
        <v>6.59500537176197</v>
      </c>
      <c r="W161" s="177" t="n">
        <f aca="false">W$3*$E161</f>
        <v>6.82440636954502</v>
      </c>
      <c r="X161" s="177" t="n">
        <f aca="false">X$3*$E161</f>
        <v>6.98168124882922</v>
      </c>
      <c r="Y161" s="177" t="n">
        <f aca="false">Y$3*$E161</f>
        <v>7.08484687908076</v>
      </c>
      <c r="Z161" s="177" t="n">
        <f aca="false">Z$3*$E161</f>
        <v>7.15057159664678</v>
      </c>
      <c r="AA161" s="177" t="n">
        <f aca="false">AA$3*$E161</f>
        <v>7.1916676666699</v>
      </c>
      <c r="AB161" s="177" t="n">
        <f aca="false">AB$3*$E161</f>
        <v>7.21706426320788</v>
      </c>
      <c r="AC161" s="177" t="n">
        <f aca="false">AC$3*$E161</f>
        <v>7.23264522467102</v>
      </c>
      <c r="AD161" s="219" t="n">
        <f aca="false">Algae_electricity_factor/H161</f>
        <v>0.00378771659738464</v>
      </c>
      <c r="AE161" s="220" t="n">
        <f aca="false">Algae_electricity_factor/I161</f>
        <v>0.00378771659738464</v>
      </c>
      <c r="AF161" s="220" t="n">
        <f aca="false">Algae_electricity_factor/J161</f>
        <v>0.00378771659738464</v>
      </c>
      <c r="AG161" s="220" t="n">
        <f aca="false">Algae_electricity_factor/K161</f>
        <v>0.00378771659738464</v>
      </c>
      <c r="AH161" s="220" t="n">
        <f aca="false">Algae_electricity_factor/L161</f>
        <v>0.00378771659738464</v>
      </c>
      <c r="AI161" s="220" t="n">
        <f aca="false">Algae_electricity_factor/M161</f>
        <v>0.0036162144686133</v>
      </c>
      <c r="AJ161" s="220" t="n">
        <f aca="false">Algae_electricity_factor/N161</f>
        <v>0.00352064674296555</v>
      </c>
      <c r="AK161" s="220" t="n">
        <f aca="false">Algae_electricity_factor/O161</f>
        <v>0.00338429834559509</v>
      </c>
      <c r="AL161" s="220" t="n">
        <f aca="false">Algae_electricity_factor/P161</f>
        <v>0.00320334475290382</v>
      </c>
      <c r="AM161" s="220" t="n">
        <f aca="false">Algae_electricity_factor/Q161</f>
        <v>0.00298494204192285</v>
      </c>
      <c r="AN161" s="220" t="n">
        <f aca="false">Algae_electricity_factor/R161</f>
        <v>0.00274962234014426</v>
      </c>
      <c r="AO161" s="220" t="n">
        <f aca="false">Algae_electricity_factor/S161</f>
        <v>0.00252514439825643</v>
      </c>
      <c r="AP161" s="220" t="n">
        <f aca="false">Algae_electricity_factor/T161</f>
        <v>0.00233455256753884</v>
      </c>
      <c r="AQ161" s="220" t="n">
        <f aca="false">Algae_electricity_factor/U161</f>
        <v>0.00218809267585983</v>
      </c>
      <c r="AR161" s="220" t="n">
        <f aca="false">Algae_electricity_factor/V161</f>
        <v>0.00208394024398761</v>
      </c>
      <c r="AS161" s="220" t="n">
        <f aca="false">Algae_electricity_factor/W161</f>
        <v>0.00201388902701665</v>
      </c>
      <c r="AT161" s="220" t="n">
        <f aca="false">Algae_electricity_factor/X161</f>
        <v>0.0019685225683762</v>
      </c>
      <c r="AU161" s="220" t="n">
        <f aca="false">Algae_electricity_factor/Y161</f>
        <v>0.00193985802912828</v>
      </c>
      <c r="AV161" s="220" t="n">
        <f aca="false">Algae_electricity_factor/Z161</f>
        <v>0.0019220277592877</v>
      </c>
      <c r="AW161" s="220" t="n">
        <f aca="false">Algae_electricity_factor/AA161</f>
        <v>0.00191104452270849</v>
      </c>
      <c r="AX161" s="220" t="n">
        <f aca="false">Algae_electricity_factor/AB161</f>
        <v>0.00190431962392149</v>
      </c>
      <c r="AY161" s="220" t="n">
        <f aca="false">Algae_electricity_factor/AC161</f>
        <v>0.00190021723402787</v>
      </c>
      <c r="AZ161" s="221" t="n">
        <f aca="false">Algae_yield_cost_factor/H161</f>
        <v>0.209687187084957</v>
      </c>
      <c r="BA161" s="197" t="n">
        <f aca="false">Algae_yield_cost_factor/I161</f>
        <v>0.209687187084957</v>
      </c>
      <c r="BB161" s="197" t="n">
        <f aca="false">Algae_yield_cost_factor/J161</f>
        <v>0.209687187084957</v>
      </c>
      <c r="BC161" s="197" t="n">
        <f aca="false">Algae_yield_cost_factor/K161</f>
        <v>0.209687187084957</v>
      </c>
      <c r="BD161" s="197" t="n">
        <f aca="false">Algae_yield_cost_factor/L161</f>
        <v>0.209687187084957</v>
      </c>
      <c r="BE161" s="197" t="n">
        <f aca="false">Algae_yield_cost_factor/M161</f>
        <v>0.200192865628601</v>
      </c>
      <c r="BF161" s="197" t="n">
        <f aca="false">Algae_yield_cost_factor/N161</f>
        <v>0.194902256616031</v>
      </c>
      <c r="BG161" s="197" t="n">
        <f aca="false">Algae_yield_cost_factor/O161</f>
        <v>0.187354038270473</v>
      </c>
      <c r="BH161" s="197" t="n">
        <f aca="false">Algae_yield_cost_factor/P161</f>
        <v>0.177336485777092</v>
      </c>
      <c r="BI161" s="197" t="n">
        <f aca="false">Algae_yield_cost_factor/Q161</f>
        <v>0.165245758041826</v>
      </c>
      <c r="BJ161" s="197" t="n">
        <f aca="false">Algae_yield_cost_factor/R161</f>
        <v>0.152218509285756</v>
      </c>
      <c r="BK161" s="197" t="n">
        <f aca="false">Algae_yield_cost_factor/S161</f>
        <v>0.139791458056638</v>
      </c>
      <c r="BL161" s="197" t="n">
        <f aca="false">Algae_yield_cost_factor/T161</f>
        <v>0.129240334751336</v>
      </c>
      <c r="BM161" s="197" t="n">
        <f aca="false">Algae_yield_cost_factor/U161</f>
        <v>0.121132346226497</v>
      </c>
      <c r="BN161" s="197" t="n">
        <f aca="false">Algae_yield_cost_factor/V161</f>
        <v>0.115366489698999</v>
      </c>
      <c r="BO161" s="197" t="n">
        <f aca="false">Algae_yield_cost_factor/W161</f>
        <v>0.111488469192221</v>
      </c>
      <c r="BP161" s="197" t="n">
        <f aca="false">Algae_yield_cost_factor/X161</f>
        <v>0.108976991668562</v>
      </c>
      <c r="BQ161" s="197" t="n">
        <f aca="false">Algae_yield_cost_factor/Y161</f>
        <v>0.107390128858358</v>
      </c>
      <c r="BR161" s="197" t="n">
        <f aca="false">Algae_yield_cost_factor/Z161</f>
        <v>0.106403048903533</v>
      </c>
      <c r="BS161" s="197" t="n">
        <f aca="false">Algae_yield_cost_factor/AA161</f>
        <v>0.10579501925713</v>
      </c>
      <c r="BT161" s="197" t="n">
        <f aca="false">Algae_yield_cost_factor/AB161</f>
        <v>0.105422730287292</v>
      </c>
      <c r="BU161" s="197" t="n">
        <f aca="false">Algae_yield_cost_factor/AC161</f>
        <v>0.105195622853301</v>
      </c>
    </row>
    <row r="162" customFormat="false" ht="15" hidden="false" customHeight="false" outlineLevel="0" collapsed="false">
      <c r="A162" s="18" t="s">
        <v>715</v>
      </c>
      <c r="B162" s="18" t="s">
        <v>22</v>
      </c>
      <c r="C162" s="18" t="s">
        <v>691</v>
      </c>
      <c r="D162" s="18" t="s">
        <v>691</v>
      </c>
      <c r="E162" s="28" t="n">
        <v>4.784566</v>
      </c>
      <c r="F162" s="185" t="n">
        <f aca="false">E162/$B$2*$F$3/1000</f>
        <v>0.0117221867</v>
      </c>
      <c r="G162" s="18" t="n">
        <f aca="false">LOOKUP(RIGHT(D162,5),Ref!$C$4:$C$21,Ref!$E$4:$E$21)*$G$3</f>
        <v>2</v>
      </c>
      <c r="H162" s="218" t="n">
        <f aca="false">$E162</f>
        <v>4.784566</v>
      </c>
      <c r="I162" s="177" t="n">
        <f aca="false">$E162</f>
        <v>4.784566</v>
      </c>
      <c r="J162" s="177" t="n">
        <f aca="false">$E162</f>
        <v>4.784566</v>
      </c>
      <c r="K162" s="177" t="n">
        <f aca="false">$E162</f>
        <v>4.784566</v>
      </c>
      <c r="L162" s="177" t="n">
        <f aca="false">$E162</f>
        <v>4.784566</v>
      </c>
      <c r="M162" s="177" t="n">
        <f aca="false">M$3*$E162</f>
        <v>5.0114782203257</v>
      </c>
      <c r="N162" s="177" t="n">
        <f aca="false">N$3*$E162</f>
        <v>5.14751446895152</v>
      </c>
      <c r="O162" s="177" t="n">
        <f aca="false">O$3*$E162</f>
        <v>5.35490024780767</v>
      </c>
      <c r="P162" s="177" t="n">
        <f aca="false">P$3*$E162</f>
        <v>5.65739295873608</v>
      </c>
      <c r="Q162" s="177" t="n">
        <f aca="false">Q$3*$E162</f>
        <v>6.07133398067855</v>
      </c>
      <c r="R162" s="177" t="n">
        <f aca="false">R$3*$E162</f>
        <v>6.59093424754887</v>
      </c>
      <c r="S162" s="177" t="n">
        <f aca="false">S$3*$E162</f>
        <v>7.176849</v>
      </c>
      <c r="T162" s="177" t="n">
        <f aca="false">T$3*$E162</f>
        <v>7.76276375245113</v>
      </c>
      <c r="U162" s="177" t="n">
        <f aca="false">U$3*$E162</f>
        <v>8.28236401932145</v>
      </c>
      <c r="V162" s="177" t="n">
        <f aca="false">V$3*$E162</f>
        <v>8.69630504126392</v>
      </c>
      <c r="W162" s="177" t="n">
        <f aca="false">W$3*$E162</f>
        <v>8.99879775219232</v>
      </c>
      <c r="X162" s="177" t="n">
        <f aca="false">X$3*$E162</f>
        <v>9.20618353104848</v>
      </c>
      <c r="Y162" s="177" t="n">
        <f aca="false">Y$3*$E162</f>
        <v>9.3422197796743</v>
      </c>
      <c r="Z162" s="177" t="n">
        <f aca="false">Z$3*$E162</f>
        <v>9.42888569736291</v>
      </c>
      <c r="AA162" s="177" t="n">
        <f aca="false">AA$3*$E162</f>
        <v>9.48307579134652</v>
      </c>
      <c r="AB162" s="177" t="n">
        <f aca="false">AB$3*$E162</f>
        <v>9.51656424784571</v>
      </c>
      <c r="AC162" s="177" t="n">
        <f aca="false">AC$3*$E162</f>
        <v>9.5371096130246</v>
      </c>
      <c r="AD162" s="219" t="n">
        <f aca="false">Algae_electricity_factor/H162</f>
        <v>0.00287248563475334</v>
      </c>
      <c r="AE162" s="220" t="n">
        <f aca="false">Algae_electricity_factor/I162</f>
        <v>0.00287248563475334</v>
      </c>
      <c r="AF162" s="220" t="n">
        <f aca="false">Algae_electricity_factor/J162</f>
        <v>0.00287248563475334</v>
      </c>
      <c r="AG162" s="220" t="n">
        <f aca="false">Algae_electricity_factor/K162</f>
        <v>0.00287248563475334</v>
      </c>
      <c r="AH162" s="220" t="n">
        <f aca="false">Algae_electricity_factor/L162</f>
        <v>0.00287248563475334</v>
      </c>
      <c r="AI162" s="220" t="n">
        <f aca="false">Algae_electricity_factor/M162</f>
        <v>0.0027424237918041</v>
      </c>
      <c r="AJ162" s="220" t="n">
        <f aca="false">Algae_electricity_factor/N162</f>
        <v>0.00266994822188982</v>
      </c>
      <c r="AK162" s="220" t="n">
        <f aca="false">Algae_electricity_factor/O162</f>
        <v>0.00256654586780696</v>
      </c>
      <c r="AL162" s="220" t="n">
        <f aca="false">Algae_electricity_factor/P162</f>
        <v>0.00242931633064423</v>
      </c>
      <c r="AM162" s="220" t="n">
        <f aca="false">Algae_electricity_factor/Q162</f>
        <v>0.00226368655509102</v>
      </c>
      <c r="AN162" s="220" t="n">
        <f aca="false">Algae_electricity_factor/R162</f>
        <v>0.00208522746356337</v>
      </c>
      <c r="AO162" s="220" t="n">
        <f aca="false">Algae_electricity_factor/S162</f>
        <v>0.00191499042316889</v>
      </c>
      <c r="AP162" s="220" t="n">
        <f aca="false">Algae_electricity_factor/T162</f>
        <v>0.00177045154816023</v>
      </c>
      <c r="AQ162" s="220" t="n">
        <f aca="false">Algae_electricity_factor/U162</f>
        <v>0.00165938095348956</v>
      </c>
      <c r="AR162" s="220" t="n">
        <f aca="false">Algae_electricity_factor/V162</f>
        <v>0.00158039501125087</v>
      </c>
      <c r="AS162" s="220" t="n">
        <f aca="false">Algae_electricity_factor/W162</f>
        <v>0.00152727036233046</v>
      </c>
      <c r="AT162" s="220" t="n">
        <f aca="false">Algae_electricity_factor/X162</f>
        <v>0.00149286586099202</v>
      </c>
      <c r="AU162" s="220" t="n">
        <f aca="false">Algae_electricity_factor/Y162</f>
        <v>0.00147112757221051</v>
      </c>
      <c r="AV162" s="220" t="n">
        <f aca="false">Algae_electricity_factor/Z162</f>
        <v>0.00145760565401414</v>
      </c>
      <c r="AW162" s="220" t="n">
        <f aca="false">Algae_electricity_factor/AA162</f>
        <v>0.00144927631139156</v>
      </c>
      <c r="AX162" s="220" t="n">
        <f aca="false">Algae_electricity_factor/AB162</f>
        <v>0.00144417635877785</v>
      </c>
      <c r="AY162" s="220" t="n">
        <f aca="false">Algae_electricity_factor/AC162</f>
        <v>0.00144106523477092</v>
      </c>
      <c r="AZ162" s="221" t="n">
        <f aca="false">Algae_yield_cost_factor/H162</f>
        <v>0.159020195203957</v>
      </c>
      <c r="BA162" s="197" t="n">
        <f aca="false">Algae_yield_cost_factor/I162</f>
        <v>0.159020195203957</v>
      </c>
      <c r="BB162" s="197" t="n">
        <f aca="false">Algae_yield_cost_factor/J162</f>
        <v>0.159020195203957</v>
      </c>
      <c r="BC162" s="197" t="n">
        <f aca="false">Algae_yield_cost_factor/K162</f>
        <v>0.159020195203957</v>
      </c>
      <c r="BD162" s="197" t="n">
        <f aca="false">Algae_yield_cost_factor/L162</f>
        <v>0.159020195203957</v>
      </c>
      <c r="BE162" s="197" t="n">
        <f aca="false">Algae_yield_cost_factor/M162</f>
        <v>0.151819999177163</v>
      </c>
      <c r="BF162" s="197" t="n">
        <f aca="false">Algae_yield_cost_factor/N162</f>
        <v>0.147807767005887</v>
      </c>
      <c r="BG162" s="197" t="n">
        <f aca="false">Algae_yield_cost_factor/O162</f>
        <v>0.142083434625642</v>
      </c>
      <c r="BH162" s="197" t="n">
        <f aca="false">Algae_yield_cost_factor/P162</f>
        <v>0.13448643656816</v>
      </c>
      <c r="BI162" s="197" t="n">
        <f aca="false">Algae_yield_cost_factor/Q162</f>
        <v>0.125317207339858</v>
      </c>
      <c r="BJ162" s="197" t="n">
        <f aca="false">Algae_yield_cost_factor/R162</f>
        <v>0.115437749901567</v>
      </c>
      <c r="BK162" s="197" t="n">
        <f aca="false">Algae_yield_cost_factor/S162</f>
        <v>0.106013463469305</v>
      </c>
      <c r="BL162" s="197" t="n">
        <f aca="false">Algae_yield_cost_factor/T162</f>
        <v>0.0980118220196998</v>
      </c>
      <c r="BM162" s="197" t="n">
        <f aca="false">Algae_yield_cost_factor/U162</f>
        <v>0.0918629774677003</v>
      </c>
      <c r="BN162" s="197" t="n">
        <f aca="false">Algae_yield_cost_factor/V162</f>
        <v>0.0874903324660329</v>
      </c>
      <c r="BO162" s="197" t="n">
        <f aca="false">Algae_yield_cost_factor/W162</f>
        <v>0.0845493631747483</v>
      </c>
      <c r="BP162" s="197" t="n">
        <f aca="false">Algae_yield_cost_factor/X162</f>
        <v>0.0826447372812224</v>
      </c>
      <c r="BQ162" s="197" t="n">
        <f aca="false">Algae_yield_cost_factor/Y162</f>
        <v>0.0814413102271014</v>
      </c>
      <c r="BR162" s="197" t="n">
        <f aca="false">Algae_yield_cost_factor/Z162</f>
        <v>0.0806927397050759</v>
      </c>
      <c r="BS162" s="197" t="n">
        <f aca="false">Algae_yield_cost_factor/AA162</f>
        <v>0.0802316290649602</v>
      </c>
      <c r="BT162" s="197" t="n">
        <f aca="false">Algae_yield_cost_factor/AB162</f>
        <v>0.0799492967704654</v>
      </c>
      <c r="BU162" s="197" t="n">
        <f aca="false">Algae_yield_cost_factor/AC162</f>
        <v>0.0797770656056163</v>
      </c>
    </row>
    <row r="163" customFormat="false" ht="15" hidden="false" customHeight="false" outlineLevel="0" collapsed="false">
      <c r="A163" s="18" t="s">
        <v>715</v>
      </c>
      <c r="B163" s="18" t="s">
        <v>22</v>
      </c>
      <c r="C163" s="18" t="s">
        <v>692</v>
      </c>
      <c r="D163" s="18" t="s">
        <v>692</v>
      </c>
      <c r="E163" s="28" t="n">
        <v>4.2002375</v>
      </c>
      <c r="F163" s="185" t="n">
        <f aca="false">E163/$B$2*$F$3/1000</f>
        <v>0.010290581875</v>
      </c>
      <c r="G163" s="18" t="n">
        <f aca="false">LOOKUP(RIGHT(D163,5),Ref!$C$4:$C$21,Ref!$E$4:$E$21)*$G$3</f>
        <v>2.5</v>
      </c>
      <c r="H163" s="218" t="n">
        <f aca="false">$E163</f>
        <v>4.2002375</v>
      </c>
      <c r="I163" s="177" t="n">
        <f aca="false">$E163</f>
        <v>4.2002375</v>
      </c>
      <c r="J163" s="177" t="n">
        <f aca="false">$E163</f>
        <v>4.2002375</v>
      </c>
      <c r="K163" s="177" t="n">
        <f aca="false">$E163</f>
        <v>4.2002375</v>
      </c>
      <c r="L163" s="177" t="n">
        <f aca="false">$E163</f>
        <v>4.2002375</v>
      </c>
      <c r="M163" s="177" t="n">
        <f aca="false">M$3*$E163</f>
        <v>4.39943743099066</v>
      </c>
      <c r="N163" s="177" t="n">
        <f aca="false">N$3*$E163</f>
        <v>4.51885987240698</v>
      </c>
      <c r="O163" s="177" t="n">
        <f aca="false">O$3*$E163</f>
        <v>4.70091808318687</v>
      </c>
      <c r="P163" s="177" t="n">
        <f aca="false">P$3*$E163</f>
        <v>4.9664680260486</v>
      </c>
      <c r="Q163" s="177" t="n">
        <f aca="false">Q$3*$E163</f>
        <v>5.32985534334156</v>
      </c>
      <c r="R163" s="177" t="n">
        <f aca="false">R$3*$E163</f>
        <v>5.78599797486105</v>
      </c>
      <c r="S163" s="177" t="n">
        <f aca="false">S$3*$E163</f>
        <v>6.30035625</v>
      </c>
      <c r="T163" s="177" t="n">
        <f aca="false">T$3*$E163</f>
        <v>6.81471452513895</v>
      </c>
      <c r="U163" s="177" t="n">
        <f aca="false">U$3*$E163</f>
        <v>7.27085715665845</v>
      </c>
      <c r="V163" s="177" t="n">
        <f aca="false">V$3*$E163</f>
        <v>7.6342444739514</v>
      </c>
      <c r="W163" s="177" t="n">
        <f aca="false">W$3*$E163</f>
        <v>7.89979441681313</v>
      </c>
      <c r="X163" s="177" t="n">
        <f aca="false">X$3*$E163</f>
        <v>8.08185262759302</v>
      </c>
      <c r="Y163" s="177" t="n">
        <f aca="false">Y$3*$E163</f>
        <v>8.20127506900934</v>
      </c>
      <c r="Z163" s="177" t="n">
        <f aca="false">Z$3*$E163</f>
        <v>8.2773566691895</v>
      </c>
      <c r="AA163" s="177" t="n">
        <f aca="false">AA$3*$E163</f>
        <v>8.32492864643435</v>
      </c>
      <c r="AB163" s="177" t="n">
        <f aca="false">AB$3*$E163</f>
        <v>8.35432723155263</v>
      </c>
      <c r="AC163" s="177" t="n">
        <f aca="false">AC$3*$E163</f>
        <v>8.37236343656591</v>
      </c>
      <c r="AD163" s="219" t="n">
        <f aca="false">Algae_electricity_factor/H163</f>
        <v>0.00327209999518581</v>
      </c>
      <c r="AE163" s="220" t="n">
        <f aca="false">Algae_electricity_factor/I163</f>
        <v>0.00327209999518581</v>
      </c>
      <c r="AF163" s="220" t="n">
        <f aca="false">Algae_electricity_factor/J163</f>
        <v>0.00327209999518581</v>
      </c>
      <c r="AG163" s="220" t="n">
        <f aca="false">Algae_electricity_factor/K163</f>
        <v>0.00327209999518581</v>
      </c>
      <c r="AH163" s="220" t="n">
        <f aca="false">Algae_electricity_factor/L163</f>
        <v>0.00327209999518581</v>
      </c>
      <c r="AI163" s="220" t="n">
        <f aca="false">Algae_electricity_factor/M163</f>
        <v>0.00312394421312056</v>
      </c>
      <c r="AJ163" s="220" t="n">
        <f aca="false">Algae_electricity_factor/N163</f>
        <v>0.00304138598929573</v>
      </c>
      <c r="AK163" s="220" t="n">
        <f aca="false">Algae_electricity_factor/O163</f>
        <v>0.00292359850997704</v>
      </c>
      <c r="AL163" s="220" t="n">
        <f aca="false">Algae_electricity_factor/P163</f>
        <v>0.00276727787865452</v>
      </c>
      <c r="AM163" s="220" t="n">
        <f aca="false">Algae_electricity_factor/Q163</f>
        <v>0.00257860602552727</v>
      </c>
      <c r="AN163" s="220" t="n">
        <f aca="false">Algae_electricity_factor/R163</f>
        <v>0.00237532006807509</v>
      </c>
      <c r="AO163" s="220" t="n">
        <f aca="false">Algae_electricity_factor/S163</f>
        <v>0.00218139999679054</v>
      </c>
      <c r="AP163" s="220" t="n">
        <f aca="false">Algae_electricity_factor/T163</f>
        <v>0.00201675316740418</v>
      </c>
      <c r="AQ163" s="220" t="n">
        <f aca="false">Algae_electricity_factor/U163</f>
        <v>0.00189023065746014</v>
      </c>
      <c r="AR163" s="220" t="n">
        <f aca="false">Algae_electricity_factor/V163</f>
        <v>0.00180025635155167</v>
      </c>
      <c r="AS163" s="220" t="n">
        <f aca="false">Algae_electricity_factor/W163</f>
        <v>0.00173974110950011</v>
      </c>
      <c r="AT163" s="220" t="n">
        <f aca="false">Algae_electricity_factor/X163</f>
        <v>0.00170055032389553</v>
      </c>
      <c r="AU163" s="220" t="n">
        <f aca="false">Algae_electricity_factor/Y163</f>
        <v>0.0016757878485826</v>
      </c>
      <c r="AV163" s="220" t="n">
        <f aca="false">Algae_electricity_factor/Z163</f>
        <v>0.00166038478862298</v>
      </c>
      <c r="AW163" s="220" t="n">
        <f aca="false">Algae_electricity_factor/AA163</f>
        <v>0.0016508966847921</v>
      </c>
      <c r="AX163" s="220" t="n">
        <f aca="false">Algae_electricity_factor/AB163</f>
        <v>0.0016450872371413</v>
      </c>
      <c r="AY163" s="220" t="n">
        <f aca="false">Algae_electricity_factor/AC163</f>
        <v>0.00164154329988886</v>
      </c>
      <c r="AZ163" s="221" t="n">
        <f aca="false">Algae_yield_cost_factor/H163</f>
        <v>0.181142761400092</v>
      </c>
      <c r="BA163" s="197" t="n">
        <f aca="false">Algae_yield_cost_factor/I163</f>
        <v>0.181142761400092</v>
      </c>
      <c r="BB163" s="197" t="n">
        <f aca="false">Algae_yield_cost_factor/J163</f>
        <v>0.181142761400092</v>
      </c>
      <c r="BC163" s="197" t="n">
        <f aca="false">Algae_yield_cost_factor/K163</f>
        <v>0.181142761400092</v>
      </c>
      <c r="BD163" s="197" t="n">
        <f aca="false">Algae_yield_cost_factor/L163</f>
        <v>0.181142761400092</v>
      </c>
      <c r="BE163" s="197" t="n">
        <f aca="false">Algae_yield_cost_factor/M163</f>
        <v>0.172940888743335</v>
      </c>
      <c r="BF163" s="197" t="n">
        <f aca="false">Algae_yield_cost_factor/N163</f>
        <v>0.16837048299109</v>
      </c>
      <c r="BG163" s="197" t="n">
        <f aca="false">Algae_yield_cost_factor/O163</f>
        <v>0.161849793130286</v>
      </c>
      <c r="BH163" s="197" t="n">
        <f aca="false">Algae_yield_cost_factor/P163</f>
        <v>0.153195916151212</v>
      </c>
      <c r="BI163" s="197" t="n">
        <f aca="false">Algae_yield_cost_factor/Q163</f>
        <v>0.142751082397896</v>
      </c>
      <c r="BJ163" s="197" t="n">
        <f aca="false">Algae_yield_cost_factor/R163</f>
        <v>0.131497214930237</v>
      </c>
      <c r="BK163" s="197" t="n">
        <f aca="false">Algae_yield_cost_factor/S163</f>
        <v>0.120761840933394</v>
      </c>
      <c r="BL163" s="197" t="n">
        <f aca="false">Algae_yield_cost_factor/T163</f>
        <v>0.11164702739631</v>
      </c>
      <c r="BM163" s="197" t="n">
        <f aca="false">Algae_yield_cost_factor/U163</f>
        <v>0.104642768093643</v>
      </c>
      <c r="BN163" s="197" t="n">
        <f aca="false">Algae_yield_cost_factor/V163</f>
        <v>0.0996618096109273</v>
      </c>
      <c r="BO163" s="197" t="n">
        <f aca="false">Algae_yield_cost_factor/W163</f>
        <v>0.0963116986521722</v>
      </c>
      <c r="BP163" s="197" t="n">
        <f aca="false">Algae_yield_cost_factor/X163</f>
        <v>0.0941421050773127</v>
      </c>
      <c r="BQ163" s="197" t="n">
        <f aca="false">Algae_yield_cost_factor/Y163</f>
        <v>0.0927712596985389</v>
      </c>
      <c r="BR163" s="197" t="n">
        <f aca="false">Algae_yield_cost_factor/Z163</f>
        <v>0.0919185495676747</v>
      </c>
      <c r="BS163" s="197" t="n">
        <f aca="false">Algae_yield_cost_factor/AA163</f>
        <v>0.0913932901529546</v>
      </c>
      <c r="BT163" s="197" t="n">
        <f aca="false">Algae_yield_cost_factor/AB163</f>
        <v>0.09107168036376</v>
      </c>
      <c r="BU163" s="197" t="n">
        <f aca="false">Algae_yield_cost_factor/AC163</f>
        <v>0.0908754887494817</v>
      </c>
    </row>
    <row r="164" customFormat="false" ht="15" hidden="false" customHeight="false" outlineLevel="0" collapsed="false">
      <c r="A164" s="18" t="s">
        <v>715</v>
      </c>
      <c r="B164" s="18" t="s">
        <v>22</v>
      </c>
      <c r="C164" s="18" t="s">
        <v>693</v>
      </c>
      <c r="D164" s="18" t="s">
        <v>693</v>
      </c>
      <c r="E164" s="28" t="n">
        <v>5.66890625</v>
      </c>
      <c r="F164" s="185" t="n">
        <f aca="false">E164/$B$2*$F$3/1000</f>
        <v>0.0138888203125</v>
      </c>
      <c r="G164" s="18" t="n">
        <f aca="false">LOOKUP(RIGHT(D164,5),Ref!$C$4:$C$21,Ref!$E$4:$E$21)*$G$3</f>
        <v>3</v>
      </c>
      <c r="H164" s="218" t="n">
        <f aca="false">$E164</f>
        <v>5.66890625</v>
      </c>
      <c r="I164" s="177" t="n">
        <f aca="false">$E164</f>
        <v>5.66890625</v>
      </c>
      <c r="J164" s="177" t="n">
        <f aca="false">$E164</f>
        <v>5.66890625</v>
      </c>
      <c r="K164" s="177" t="n">
        <f aca="false">$E164</f>
        <v>5.66890625</v>
      </c>
      <c r="L164" s="177" t="n">
        <f aca="false">$E164</f>
        <v>5.66890625</v>
      </c>
      <c r="M164" s="177" t="n">
        <f aca="false">M$3*$E164</f>
        <v>5.93775907886802</v>
      </c>
      <c r="N164" s="177" t="n">
        <f aca="false">N$3*$E164</f>
        <v>6.09893916083605</v>
      </c>
      <c r="O164" s="177" t="n">
        <f aca="false">O$3*$E164</f>
        <v>6.34465643966945</v>
      </c>
      <c r="P164" s="177" t="n">
        <f aca="false">P$3*$E164</f>
        <v>6.70305944206538</v>
      </c>
      <c r="Q164" s="177" t="n">
        <f aca="false">Q$3*$E164</f>
        <v>7.19350995448825</v>
      </c>
      <c r="R164" s="177" t="n">
        <f aca="false">R$3*$E164</f>
        <v>7.80914890697899</v>
      </c>
      <c r="S164" s="177" t="n">
        <f aca="false">S$3*$E164</f>
        <v>8.503359375</v>
      </c>
      <c r="T164" s="177" t="n">
        <f aca="false">T$3*$E164</f>
        <v>9.19756984302101</v>
      </c>
      <c r="U164" s="177" t="n">
        <f aca="false">U$3*$E164</f>
        <v>9.81320879551175</v>
      </c>
      <c r="V164" s="177" t="n">
        <f aca="false">V$3*$E164</f>
        <v>10.3036593079346</v>
      </c>
      <c r="W164" s="177" t="n">
        <f aca="false">W$3*$E164</f>
        <v>10.6620623103306</v>
      </c>
      <c r="X164" s="177" t="n">
        <f aca="false">X$3*$E164</f>
        <v>10.9077795891639</v>
      </c>
      <c r="Y164" s="177" t="n">
        <f aca="false">Y$3*$E164</f>
        <v>11.068959671132</v>
      </c>
      <c r="Z164" s="177" t="n">
        <f aca="false">Z$3*$E164</f>
        <v>11.1716442118922</v>
      </c>
      <c r="AA164" s="177" t="n">
        <f aca="false">AA$3*$E164</f>
        <v>11.2358503619321</v>
      </c>
      <c r="AB164" s="177" t="n">
        <f aca="false">AB$3*$E164</f>
        <v>11.275528552253</v>
      </c>
      <c r="AC164" s="177" t="n">
        <f aca="false">AC$3*$E164</f>
        <v>11.299871355565</v>
      </c>
      <c r="AD164" s="219" t="n">
        <f aca="false">Algae_electricity_factor/H164</f>
        <v>0.00242438249945115</v>
      </c>
      <c r="AE164" s="220" t="n">
        <f aca="false">Algae_electricity_factor/I164</f>
        <v>0.00242438249945115</v>
      </c>
      <c r="AF164" s="220" t="n">
        <f aca="false">Algae_electricity_factor/J164</f>
        <v>0.00242438249945115</v>
      </c>
      <c r="AG164" s="220" t="n">
        <f aca="false">Algae_electricity_factor/K164</f>
        <v>0.00242438249945115</v>
      </c>
      <c r="AH164" s="220" t="n">
        <f aca="false">Algae_electricity_factor/L164</f>
        <v>0.00242438249945115</v>
      </c>
      <c r="AI164" s="220" t="n">
        <f aca="false">Algae_electricity_factor/M164</f>
        <v>0.00231461009464691</v>
      </c>
      <c r="AJ164" s="220" t="n">
        <f aca="false">Algae_electricity_factor/N164</f>
        <v>0.00225344059697839</v>
      </c>
      <c r="AK164" s="220" t="n">
        <f aca="false">Algae_electricity_factor/O164</f>
        <v>0.00216616884369003</v>
      </c>
      <c r="AL164" s="220" t="n">
        <f aca="false">Algae_electricity_factor/P164</f>
        <v>0.00205034689343207</v>
      </c>
      <c r="AM164" s="220" t="n">
        <f aca="false">Algae_electricity_factor/Q164</f>
        <v>0.00191055509625787</v>
      </c>
      <c r="AN164" s="220" t="n">
        <f aca="false">Algae_electricity_factor/R164</f>
        <v>0.00175993533575044</v>
      </c>
      <c r="AO164" s="220" t="n">
        <f aca="false">Algae_electricity_factor/S164</f>
        <v>0.0016162549996341</v>
      </c>
      <c r="AP164" s="220" t="n">
        <f aca="false">Algae_electricity_factor/T164</f>
        <v>0.00149426395646864</v>
      </c>
      <c r="AQ164" s="220" t="n">
        <f aca="false">Algae_electricity_factor/U164</f>
        <v>0.00140052019578093</v>
      </c>
      <c r="AR164" s="220" t="n">
        <f aca="false">Algae_electricity_factor/V164</f>
        <v>0.00133385593339112</v>
      </c>
      <c r="AS164" s="220" t="n">
        <f aca="false">Algae_electricity_factor/W164</f>
        <v>0.00128901864418978</v>
      </c>
      <c r="AT164" s="220" t="n">
        <f aca="false">Algae_electricity_factor/X164</f>
        <v>0.00125998118968066</v>
      </c>
      <c r="AU164" s="220" t="n">
        <f aca="false">Algae_electricity_factor/Y164</f>
        <v>0.00124163403895786</v>
      </c>
      <c r="AV164" s="220" t="n">
        <f aca="false">Algae_electricity_factor/Z164</f>
        <v>0.00123022151823446</v>
      </c>
      <c r="AW164" s="220" t="n">
        <f aca="false">Algae_electricity_factor/AA164</f>
        <v>0.00122319153965361</v>
      </c>
      <c r="AX164" s="220" t="n">
        <f aca="false">Algae_electricity_factor/AB164</f>
        <v>0.00121888717143846</v>
      </c>
      <c r="AY164" s="220" t="n">
        <f aca="false">Algae_electricity_factor/AC164</f>
        <v>0.00121626137776876</v>
      </c>
      <c r="AZ164" s="221" t="n">
        <f aca="false">Algae_yield_cost_factor/H164</f>
        <v>0.134213300720261</v>
      </c>
      <c r="BA164" s="197" t="n">
        <f aca="false">Algae_yield_cost_factor/I164</f>
        <v>0.134213300720261</v>
      </c>
      <c r="BB164" s="197" t="n">
        <f aca="false">Algae_yield_cost_factor/J164</f>
        <v>0.134213300720261</v>
      </c>
      <c r="BC164" s="197" t="n">
        <f aca="false">Algae_yield_cost_factor/K164</f>
        <v>0.134213300720261</v>
      </c>
      <c r="BD164" s="197" t="n">
        <f aca="false">Algae_yield_cost_factor/L164</f>
        <v>0.134213300720261</v>
      </c>
      <c r="BE164" s="197" t="n">
        <f aca="false">Algae_yield_cost_factor/M164</f>
        <v>0.128136323683794</v>
      </c>
      <c r="BF164" s="197" t="n">
        <f aca="false">Algae_yield_cost_factor/N164</f>
        <v>0.124749993272915</v>
      </c>
      <c r="BG164" s="197" t="n">
        <f aca="false">Algae_yield_cost_factor/O164</f>
        <v>0.119918647529772</v>
      </c>
      <c r="BH164" s="197" t="n">
        <f aca="false">Algae_yield_cost_factor/P164</f>
        <v>0.113506768940689</v>
      </c>
      <c r="BI164" s="197" t="n">
        <f aca="false">Algae_yield_cost_factor/Q164</f>
        <v>0.105767924712679</v>
      </c>
      <c r="BJ164" s="197" t="n">
        <f aca="false">Algae_yield_cost_factor/R164</f>
        <v>0.097429646732214</v>
      </c>
      <c r="BK164" s="197" t="n">
        <f aca="false">Algae_yield_cost_factor/S164</f>
        <v>0.0894755338135074</v>
      </c>
      <c r="BL164" s="197" t="n">
        <f aca="false">Algae_yield_cost_factor/T164</f>
        <v>0.082722135550135</v>
      </c>
      <c r="BM164" s="197" t="n">
        <f aca="false">Algae_yield_cost_factor/U164</f>
        <v>0.0775325008507108</v>
      </c>
      <c r="BN164" s="197" t="n">
        <f aca="false">Algae_yield_cost_factor/V164</f>
        <v>0.0738419814308407</v>
      </c>
      <c r="BO164" s="197" t="n">
        <f aca="false">Algae_yield_cost_factor/W164</f>
        <v>0.071359798615042</v>
      </c>
      <c r="BP164" s="197" t="n">
        <f aca="false">Algae_yield_cost_factor/X164</f>
        <v>0.0697522912951099</v>
      </c>
      <c r="BQ164" s="197" t="n">
        <f aca="false">Algae_yield_cost_factor/Y164</f>
        <v>0.0687365969243259</v>
      </c>
      <c r="BR164" s="197" t="n">
        <f aca="false">Algae_yield_cost_factor/Z164</f>
        <v>0.0681048021987938</v>
      </c>
      <c r="BS164" s="197" t="n">
        <f aca="false">Algae_yield_cost_factor/AA164</f>
        <v>0.0677156240763058</v>
      </c>
      <c r="BT164" s="197" t="n">
        <f aca="false">Algae_yield_cost_factor/AB164</f>
        <v>0.0674773351652938</v>
      </c>
      <c r="BU164" s="197" t="n">
        <f aca="false">Algae_yield_cost_factor/AC164</f>
        <v>0.0673319717849279</v>
      </c>
    </row>
    <row r="165" customFormat="false" ht="15" hidden="false" customHeight="false" outlineLevel="0" collapsed="false">
      <c r="A165" s="18" t="s">
        <v>715</v>
      </c>
      <c r="B165" s="18" t="s">
        <v>22</v>
      </c>
      <c r="C165" s="18" t="s">
        <v>694</v>
      </c>
      <c r="D165" s="18" t="s">
        <v>694</v>
      </c>
      <c r="E165" s="28" t="n">
        <v>6.28238</v>
      </c>
      <c r="F165" s="185" t="n">
        <f aca="false">E165/$B$2*$F$3/1000</f>
        <v>0.015391831</v>
      </c>
      <c r="G165" s="18" t="n">
        <f aca="false">LOOKUP(RIGHT(D165,5),Ref!$C$4:$C$21,Ref!$E$4:$E$21)*$G$3</f>
        <v>3</v>
      </c>
      <c r="H165" s="218" t="n">
        <f aca="false">$E165</f>
        <v>6.28238</v>
      </c>
      <c r="I165" s="177" t="n">
        <f aca="false">$E165</f>
        <v>6.28238</v>
      </c>
      <c r="J165" s="177" t="n">
        <f aca="false">$E165</f>
        <v>6.28238</v>
      </c>
      <c r="K165" s="177" t="n">
        <f aca="false">$E165</f>
        <v>6.28238</v>
      </c>
      <c r="L165" s="177" t="n">
        <f aca="false">$E165</f>
        <v>6.28238</v>
      </c>
      <c r="M165" s="177" t="n">
        <f aca="false">M$3*$E165</f>
        <v>6.58032735713328</v>
      </c>
      <c r="N165" s="177" t="n">
        <f aca="false">N$3*$E165</f>
        <v>6.75894991300186</v>
      </c>
      <c r="O165" s="177" t="n">
        <f aca="false">O$3*$E165</f>
        <v>7.03125805325331</v>
      </c>
      <c r="P165" s="177" t="n">
        <f aca="false">P$3*$E165</f>
        <v>7.42844646225058</v>
      </c>
      <c r="Q165" s="177" t="n">
        <f aca="false">Q$3*$E165</f>
        <v>7.97197220678643</v>
      </c>
      <c r="R165" s="177" t="n">
        <f aca="false">R$3*$E165</f>
        <v>8.65423394684409</v>
      </c>
      <c r="S165" s="177" t="n">
        <f aca="false">S$3*$E165</f>
        <v>9.42357</v>
      </c>
      <c r="T165" s="177" t="n">
        <f aca="false">T$3*$E165</f>
        <v>10.1929060531559</v>
      </c>
      <c r="U165" s="177" t="n">
        <f aca="false">U$3*$E165</f>
        <v>10.8751677932136</v>
      </c>
      <c r="V165" s="177" t="n">
        <f aca="false">V$3*$E165</f>
        <v>11.4186935377494</v>
      </c>
      <c r="W165" s="177" t="n">
        <f aca="false">W$3*$E165</f>
        <v>11.8158819467467</v>
      </c>
      <c r="X165" s="177" t="n">
        <f aca="false">X$3*$E165</f>
        <v>12.0881900869981</v>
      </c>
      <c r="Y165" s="177" t="n">
        <f aca="false">Y$3*$E165</f>
        <v>12.2668126428667</v>
      </c>
      <c r="Z165" s="177" t="n">
        <f aca="false">Z$3*$E165</f>
        <v>12.3806094277723</v>
      </c>
      <c r="AA165" s="177" t="n">
        <f aca="false">AA$3*$E165</f>
        <v>12.4517637942584</v>
      </c>
      <c r="AB165" s="177" t="n">
        <f aca="false">AB$3*$E165</f>
        <v>12.4957358513564</v>
      </c>
      <c r="AC165" s="177" t="n">
        <f aca="false">AC$3*$E165</f>
        <v>12.5227129672103</v>
      </c>
      <c r="AD165" s="219" t="n">
        <f aca="false">Algae_electricity_factor/H165</f>
        <v>0.00218764180191731</v>
      </c>
      <c r="AE165" s="220" t="n">
        <f aca="false">Algae_electricity_factor/I165</f>
        <v>0.00218764180191731</v>
      </c>
      <c r="AF165" s="220" t="n">
        <f aca="false">Algae_electricity_factor/J165</f>
        <v>0.00218764180191731</v>
      </c>
      <c r="AG165" s="220" t="n">
        <f aca="false">Algae_electricity_factor/K165</f>
        <v>0.00218764180191731</v>
      </c>
      <c r="AH165" s="220" t="n">
        <f aca="false">Algae_electricity_factor/L165</f>
        <v>0.00218764180191731</v>
      </c>
      <c r="AI165" s="220" t="n">
        <f aca="false">Algae_electricity_factor/M165</f>
        <v>0.0020885886609624</v>
      </c>
      <c r="AJ165" s="220" t="n">
        <f aca="false">Algae_electricity_factor/N165</f>
        <v>0.00203339235834421</v>
      </c>
      <c r="AK165" s="220" t="n">
        <f aca="false">Algae_electricity_factor/O165</f>
        <v>0.00195464268263774</v>
      </c>
      <c r="AL165" s="220" t="n">
        <f aca="false">Algae_electricity_factor/P165</f>
        <v>0.00185013073371002</v>
      </c>
      <c r="AM165" s="220" t="n">
        <f aca="false">Algae_electricity_factor/Q165</f>
        <v>0.00172398959091071</v>
      </c>
      <c r="AN165" s="220" t="n">
        <f aca="false">Algae_electricity_factor/R165</f>
        <v>0.00158807783426528</v>
      </c>
      <c r="AO165" s="220" t="n">
        <f aca="false">Algae_electricity_factor/S165</f>
        <v>0.00145842786794487</v>
      </c>
      <c r="AP165" s="220" t="n">
        <f aca="false">Algae_electricity_factor/T165</f>
        <v>0.00134834923738692</v>
      </c>
      <c r="AQ165" s="220" t="n">
        <f aca="false">Algae_electricity_factor/U165</f>
        <v>0.0012637595451268</v>
      </c>
      <c r="AR165" s="220" t="n">
        <f aca="false">Algae_electricity_factor/V165</f>
        <v>0.00120360504098773</v>
      </c>
      <c r="AS165" s="220" t="n">
        <f aca="false">Algae_electricity_factor/W165</f>
        <v>0.0011631461083879</v>
      </c>
      <c r="AT165" s="220" t="n">
        <f aca="false">Algae_electricity_factor/X165</f>
        <v>0.00113694415827491</v>
      </c>
      <c r="AU165" s="220" t="n">
        <f aca="false">Algae_electricity_factor/Y165</f>
        <v>0.00112038860490148</v>
      </c>
      <c r="AV165" s="220" t="n">
        <f aca="false">Algae_electricity_factor/Z165</f>
        <v>0.00111009051563322</v>
      </c>
      <c r="AW165" s="220" t="n">
        <f aca="false">Algae_electricity_factor/AA165</f>
        <v>0.0011037470137256</v>
      </c>
      <c r="AX165" s="220" t="n">
        <f aca="false">Algae_electricity_factor/AB165</f>
        <v>0.00109986296661652</v>
      </c>
      <c r="AY165" s="220" t="n">
        <f aca="false">Algae_electricity_factor/AC165</f>
        <v>0.00109749358142407</v>
      </c>
      <c r="AZ165" s="221" t="n">
        <f aca="false">Algae_yield_cost_factor/H165</f>
        <v>0.121107385940713</v>
      </c>
      <c r="BA165" s="197" t="n">
        <f aca="false">Algae_yield_cost_factor/I165</f>
        <v>0.121107385940713</v>
      </c>
      <c r="BB165" s="197" t="n">
        <f aca="false">Algae_yield_cost_factor/J165</f>
        <v>0.121107385940713</v>
      </c>
      <c r="BC165" s="197" t="n">
        <f aca="false">Algae_yield_cost_factor/K165</f>
        <v>0.121107385940713</v>
      </c>
      <c r="BD165" s="197" t="n">
        <f aca="false">Algae_yield_cost_factor/L165</f>
        <v>0.121107385940713</v>
      </c>
      <c r="BE165" s="197" t="n">
        <f aca="false">Algae_yield_cost_factor/M165</f>
        <v>0.115623825076338</v>
      </c>
      <c r="BF165" s="197" t="n">
        <f aca="false">Algae_yield_cost_factor/N165</f>
        <v>0.112568169475945</v>
      </c>
      <c r="BG165" s="197" t="n">
        <f aca="false">Algae_yield_cost_factor/O165</f>
        <v>0.108208604139366</v>
      </c>
      <c r="BH165" s="197" t="n">
        <f aca="false">Algae_yield_cost_factor/P165</f>
        <v>0.102422844823964</v>
      </c>
      <c r="BI165" s="197" t="n">
        <f aca="false">Algae_yield_cost_factor/Q165</f>
        <v>0.0954396979255049</v>
      </c>
      <c r="BJ165" s="197" t="n">
        <f aca="false">Algae_yield_cost_factor/R165</f>
        <v>0.0879156519178305</v>
      </c>
      <c r="BK165" s="197" t="n">
        <f aca="false">Algae_yield_cost_factor/S165</f>
        <v>0.0807382572938088</v>
      </c>
      <c r="BL165" s="197" t="n">
        <f aca="false">Algae_yield_cost_factor/T165</f>
        <v>0.0746443276645964</v>
      </c>
      <c r="BM165" s="197" t="n">
        <f aca="false">Algae_yield_cost_factor/U165</f>
        <v>0.0699614602508484</v>
      </c>
      <c r="BN165" s="197" t="n">
        <f aca="false">Algae_yield_cost_factor/V165</f>
        <v>0.0666313196663807</v>
      </c>
      <c r="BO165" s="197" t="n">
        <f aca="false">Algae_yield_cost_factor/W165</f>
        <v>0.0643915217429625</v>
      </c>
      <c r="BP165" s="197" t="n">
        <f aca="false">Algae_yield_cost_factor/X165</f>
        <v>0.0629409873447116</v>
      </c>
      <c r="BQ165" s="197" t="n">
        <f aca="false">Algae_yield_cost_factor/Y165</f>
        <v>0.0620244754230151</v>
      </c>
      <c r="BR165" s="197" t="n">
        <f aca="false">Algae_yield_cost_factor/Z165</f>
        <v>0.0614543753863593</v>
      </c>
      <c r="BS165" s="197" t="n">
        <f aca="false">Algae_yield_cost_factor/AA165</f>
        <v>0.0611032004668327</v>
      </c>
      <c r="BT165" s="197" t="n">
        <f aca="false">Algae_yield_cost_factor/AB165</f>
        <v>0.0608881804430612</v>
      </c>
      <c r="BU165" s="197" t="n">
        <f aca="false">Algae_yield_cost_factor/AC165</f>
        <v>0.0607570117815862</v>
      </c>
    </row>
    <row r="166" customFormat="false" ht="15" hidden="false" customHeight="false" outlineLevel="0" collapsed="false">
      <c r="A166" s="18" t="s">
        <v>715</v>
      </c>
      <c r="B166" s="18" t="s">
        <v>22</v>
      </c>
      <c r="C166" s="18" t="s">
        <v>682</v>
      </c>
      <c r="D166" s="18" t="s">
        <v>682</v>
      </c>
      <c r="E166" s="28" t="n">
        <v>6.304645</v>
      </c>
      <c r="F166" s="185" t="n">
        <f aca="false">E166/$B$2*$F$3/1000</f>
        <v>0.01544638025</v>
      </c>
      <c r="G166" s="18" t="n">
        <f aca="false">LOOKUP(RIGHT(D166,5),Ref!$C$4:$C$21,Ref!$E$4:$E$21)*$G$3</f>
        <v>3</v>
      </c>
      <c r="H166" s="218" t="n">
        <f aca="false">$E166</f>
        <v>6.304645</v>
      </c>
      <c r="I166" s="177" t="n">
        <f aca="false">$E166</f>
        <v>6.304645</v>
      </c>
      <c r="J166" s="177" t="n">
        <f aca="false">$E166</f>
        <v>6.304645</v>
      </c>
      <c r="K166" s="177" t="n">
        <f aca="false">$E166</f>
        <v>6.304645</v>
      </c>
      <c r="L166" s="177" t="n">
        <f aca="false">$E166</f>
        <v>6.304645</v>
      </c>
      <c r="M166" s="177" t="n">
        <f aca="false">M$3*$E166</f>
        <v>6.60364829419958</v>
      </c>
      <c r="N166" s="177" t="n">
        <f aca="false">N$3*$E166</f>
        <v>6.78290389538003</v>
      </c>
      <c r="O166" s="177" t="n">
        <f aca="false">O$3*$E166</f>
        <v>7.05617710631213</v>
      </c>
      <c r="P166" s="177" t="n">
        <f aca="false">P$3*$E166</f>
        <v>7.45477316653813</v>
      </c>
      <c r="Q166" s="177" t="n">
        <f aca="false">Q$3*$E166</f>
        <v>8.00022518753323</v>
      </c>
      <c r="R166" s="177" t="n">
        <f aca="false">R$3*$E166</f>
        <v>8.68490488983488</v>
      </c>
      <c r="S166" s="177" t="n">
        <f aca="false">S$3*$E166</f>
        <v>9.4569675</v>
      </c>
      <c r="T166" s="177" t="n">
        <f aca="false">T$3*$E166</f>
        <v>10.2290301101651</v>
      </c>
      <c r="U166" s="177" t="n">
        <f aca="false">U$3*$E166</f>
        <v>10.9137098124668</v>
      </c>
      <c r="V166" s="177" t="n">
        <f aca="false">V$3*$E166</f>
        <v>11.4591618334619</v>
      </c>
      <c r="W166" s="177" t="n">
        <f aca="false">W$3*$E166</f>
        <v>11.8577578936879</v>
      </c>
      <c r="X166" s="177" t="n">
        <f aca="false">X$3*$E166</f>
        <v>12.13103110462</v>
      </c>
      <c r="Y166" s="177" t="n">
        <f aca="false">Y$3*$E166</f>
        <v>12.3102867058004</v>
      </c>
      <c r="Z166" s="177" t="n">
        <f aca="false">Z$3*$E166</f>
        <v>12.4244867909546</v>
      </c>
      <c r="AA166" s="177" t="n">
        <f aca="false">AA$3*$E166</f>
        <v>12.4958933312936</v>
      </c>
      <c r="AB166" s="177" t="n">
        <f aca="false">AB$3*$E166</f>
        <v>12.5400212270787</v>
      </c>
      <c r="AC166" s="177" t="n">
        <f aca="false">AC$3*$E166</f>
        <v>12.5670939508845</v>
      </c>
      <c r="AD166" s="219" t="n">
        <f aca="false">Algae_electricity_factor/H166</f>
        <v>0.00217991609417013</v>
      </c>
      <c r="AE166" s="220" t="n">
        <f aca="false">Algae_electricity_factor/I166</f>
        <v>0.00217991609417013</v>
      </c>
      <c r="AF166" s="220" t="n">
        <f aca="false">Algae_electricity_factor/J166</f>
        <v>0.00217991609417013</v>
      </c>
      <c r="AG166" s="220" t="n">
        <f aca="false">Algae_electricity_factor/K166</f>
        <v>0.00217991609417013</v>
      </c>
      <c r="AH166" s="220" t="n">
        <f aca="false">Algae_electricity_factor/L166</f>
        <v>0.00217991609417013</v>
      </c>
      <c r="AI166" s="220" t="n">
        <f aca="false">Algae_electricity_factor/M166</f>
        <v>0.0020812127616792</v>
      </c>
      <c r="AJ166" s="220" t="n">
        <f aca="false">Algae_electricity_factor/N166</f>
        <v>0.00202621138608352</v>
      </c>
      <c r="AK166" s="220" t="n">
        <f aca="false">Algae_electricity_factor/O166</f>
        <v>0.00194773981668273</v>
      </c>
      <c r="AL166" s="220" t="n">
        <f aca="false">Algae_electricity_factor/P166</f>
        <v>0.00184359695412591</v>
      </c>
      <c r="AM166" s="220" t="n">
        <f aca="false">Algae_electricity_factor/Q166</f>
        <v>0.00171790128169716</v>
      </c>
      <c r="AN166" s="220" t="n">
        <f aca="false">Algae_electricity_factor/R166</f>
        <v>0.00158246950057165</v>
      </c>
      <c r="AO166" s="220" t="n">
        <f aca="false">Algae_electricity_factor/S166</f>
        <v>0.00145327739611342</v>
      </c>
      <c r="AP166" s="220" t="n">
        <f aca="false">Algae_electricity_factor/T166</f>
        <v>0.00134358751079162</v>
      </c>
      <c r="AQ166" s="220" t="n">
        <f aca="false">Algae_electricity_factor/U166</f>
        <v>0.00125929654899106</v>
      </c>
      <c r="AR166" s="220" t="n">
        <f aca="false">Algae_electricity_factor/V166</f>
        <v>0.00119935448187813</v>
      </c>
      <c r="AS166" s="220" t="n">
        <f aca="false">Algae_electricity_factor/W166</f>
        <v>0.00115903843093687</v>
      </c>
      <c r="AT166" s="220" t="n">
        <f aca="false">Algae_electricity_factor/X166</f>
        <v>0.00113292901361824</v>
      </c>
      <c r="AU166" s="220" t="n">
        <f aca="false">Algae_electricity_factor/Y166</f>
        <v>0.00111643192656541</v>
      </c>
      <c r="AV166" s="220" t="n">
        <f aca="false">Algae_electricity_factor/Z166</f>
        <v>0.00110617020523817</v>
      </c>
      <c r="AW166" s="220" t="n">
        <f aca="false">Algae_electricity_factor/AA166</f>
        <v>0.00109984910555463</v>
      </c>
      <c r="AX166" s="220" t="n">
        <f aca="false">Algae_electricity_factor/AB166</f>
        <v>0.00109597877504797</v>
      </c>
      <c r="AY166" s="220" t="n">
        <f aca="false">Algae_electricity_factor/AC166</f>
        <v>0.00109361775739426</v>
      </c>
      <c r="AZ166" s="221" t="n">
        <f aca="false">Algae_yield_cost_factor/H166</f>
        <v>0.12067969239921</v>
      </c>
      <c r="BA166" s="197" t="n">
        <f aca="false">Algae_yield_cost_factor/I166</f>
        <v>0.12067969239921</v>
      </c>
      <c r="BB166" s="197" t="n">
        <f aca="false">Algae_yield_cost_factor/J166</f>
        <v>0.12067969239921</v>
      </c>
      <c r="BC166" s="197" t="n">
        <f aca="false">Algae_yield_cost_factor/K166</f>
        <v>0.12067969239921</v>
      </c>
      <c r="BD166" s="197" t="n">
        <f aca="false">Algae_yield_cost_factor/L166</f>
        <v>0.12067969239921</v>
      </c>
      <c r="BE166" s="197" t="n">
        <f aca="false">Algae_yield_cost_factor/M166</f>
        <v>0.115215496857172</v>
      </c>
      <c r="BF166" s="197" t="n">
        <f aca="false">Algae_yield_cost_factor/N166</f>
        <v>0.112170632375382</v>
      </c>
      <c r="BG166" s="197" t="n">
        <f aca="false">Algae_yield_cost_factor/O166</f>
        <v>0.107826462944872</v>
      </c>
      <c r="BH166" s="197" t="n">
        <f aca="false">Algae_yield_cost_factor/P166</f>
        <v>0.102061136172644</v>
      </c>
      <c r="BI166" s="197" t="n">
        <f aca="false">Algae_yield_cost_factor/Q166</f>
        <v>0.0951026504193707</v>
      </c>
      <c r="BJ166" s="197" t="n">
        <f aca="false">Algae_yield_cost_factor/R166</f>
        <v>0.0876051757546285</v>
      </c>
      <c r="BK166" s="197" t="n">
        <f aca="false">Algae_yield_cost_factor/S166</f>
        <v>0.0804531282661401</v>
      </c>
      <c r="BL166" s="197" t="n">
        <f aca="false">Algae_yield_cost_factor/T166</f>
        <v>0.07438071949071</v>
      </c>
      <c r="BM166" s="197" t="n">
        <f aca="false">Algae_yield_cost_factor/U166</f>
        <v>0.0697143897318128</v>
      </c>
      <c r="BN166" s="197" t="n">
        <f aca="false">Algae_yield_cost_factor/V166</f>
        <v>0.0663960096160334</v>
      </c>
      <c r="BO166" s="197" t="n">
        <f aca="false">Algae_yield_cost_factor/W166</f>
        <v>0.0641641215909148</v>
      </c>
      <c r="BP166" s="197" t="n">
        <f aca="false">Algae_yield_cost_factor/X166</f>
        <v>0.062718709788524</v>
      </c>
      <c r="BQ166" s="197" t="n">
        <f aca="false">Algae_yield_cost_factor/Y166</f>
        <v>0.0618054345499297</v>
      </c>
      <c r="BR166" s="197" t="n">
        <f aca="false">Algae_yield_cost_factor/Z166</f>
        <v>0.061237347834772</v>
      </c>
      <c r="BS166" s="197" t="n">
        <f aca="false">Algae_yield_cost_factor/AA166</f>
        <v>0.0608874130976162</v>
      </c>
      <c r="BT166" s="197" t="n">
        <f aca="false">Algae_yield_cost_factor/AB166</f>
        <v>0.0606731524220441</v>
      </c>
      <c r="BU166" s="197" t="n">
        <f aca="false">Algae_yield_cost_factor/AC166</f>
        <v>0.0605424469857385</v>
      </c>
    </row>
    <row r="167" customFormat="false" ht="15" hidden="false" customHeight="false" outlineLevel="0" collapsed="false">
      <c r="A167" s="18" t="s">
        <v>716</v>
      </c>
      <c r="B167" s="18" t="s">
        <v>22</v>
      </c>
      <c r="C167" s="18" t="s">
        <v>690</v>
      </c>
      <c r="D167" s="18" t="s">
        <v>690</v>
      </c>
      <c r="E167" s="28" t="n">
        <v>7.14378</v>
      </c>
      <c r="F167" s="185" t="n">
        <f aca="false">E167/$B$2*$F$3/1000</f>
        <v>0.017502261</v>
      </c>
      <c r="G167" s="18" t="n">
        <f aca="false">LOOKUP(RIGHT(D167,5),Ref!$C$4:$C$21,Ref!$E$4:$E$21)*$G$3</f>
        <v>1.5</v>
      </c>
      <c r="H167" s="218" t="n">
        <f aca="false">$E167</f>
        <v>7.14378</v>
      </c>
      <c r="I167" s="177" t="n">
        <f aca="false">$E167</f>
        <v>7.14378</v>
      </c>
      <c r="J167" s="177" t="n">
        <f aca="false">$E167</f>
        <v>7.14378</v>
      </c>
      <c r="K167" s="177" t="n">
        <f aca="false">$E167</f>
        <v>7.14378</v>
      </c>
      <c r="L167" s="177" t="n">
        <f aca="false">$E167</f>
        <v>7.14378</v>
      </c>
      <c r="M167" s="177" t="n">
        <f aca="false">M$3*$E167</f>
        <v>7.48258000428844</v>
      </c>
      <c r="N167" s="177" t="n">
        <f aca="false">N$3*$E167</f>
        <v>7.68569414927216</v>
      </c>
      <c r="O167" s="177" t="n">
        <f aca="false">O$3*$E167</f>
        <v>7.99533945028316</v>
      </c>
      <c r="P167" s="177" t="n">
        <f aca="false">P$3*$E167</f>
        <v>8.44698780845737</v>
      </c>
      <c r="Q167" s="177" t="n">
        <f aca="false">Q$3*$E167</f>
        <v>9.06503834715454</v>
      </c>
      <c r="R167" s="177" t="n">
        <f aca="false">R$3*$E167</f>
        <v>9.84084747894682</v>
      </c>
      <c r="S167" s="177" t="n">
        <f aca="false">S$3*$E167</f>
        <v>10.71567</v>
      </c>
      <c r="T167" s="177" t="n">
        <f aca="false">T$3*$E167</f>
        <v>11.5904925210532</v>
      </c>
      <c r="U167" s="177" t="n">
        <f aca="false">U$3*$E167</f>
        <v>12.3663016528455</v>
      </c>
      <c r="V167" s="177" t="n">
        <f aca="false">V$3*$E167</f>
        <v>12.9843521915426</v>
      </c>
      <c r="W167" s="177" t="n">
        <f aca="false">W$3*$E167</f>
        <v>13.4360005497168</v>
      </c>
      <c r="X167" s="177" t="n">
        <f aca="false">X$3*$E167</f>
        <v>13.7456458507278</v>
      </c>
      <c r="Y167" s="177" t="n">
        <f aca="false">Y$3*$E167</f>
        <v>13.9487599957116</v>
      </c>
      <c r="Z167" s="177" t="n">
        <f aca="false">Z$3*$E167</f>
        <v>14.0781598722031</v>
      </c>
      <c r="AA167" s="177" t="n">
        <f aca="false">AA$3*$E167</f>
        <v>14.159070472997</v>
      </c>
      <c r="AB167" s="177" t="n">
        <f aca="false">AB$3*$E167</f>
        <v>14.2090716989744</v>
      </c>
      <c r="AC167" s="177" t="n">
        <f aca="false">AC$3*$E167</f>
        <v>14.2397477454241</v>
      </c>
      <c r="AD167" s="219" t="n">
        <f aca="false">Algae_electricity_factor/H167</f>
        <v>0.00192385503242391</v>
      </c>
      <c r="AE167" s="220" t="n">
        <f aca="false">Algae_electricity_factor/I167</f>
        <v>0.00192385503242391</v>
      </c>
      <c r="AF167" s="220" t="n">
        <f aca="false">Algae_electricity_factor/J167</f>
        <v>0.00192385503242391</v>
      </c>
      <c r="AG167" s="220" t="n">
        <f aca="false">Algae_electricity_factor/K167</f>
        <v>0.00192385503242391</v>
      </c>
      <c r="AH167" s="220" t="n">
        <f aca="false">Algae_electricity_factor/L167</f>
        <v>0.00192385503242391</v>
      </c>
      <c r="AI167" s="220" t="n">
        <f aca="false">Algae_electricity_factor/M167</f>
        <v>0.00183674576090767</v>
      </c>
      <c r="AJ167" s="220" t="n">
        <f aca="false">Algae_electricity_factor/N167</f>
        <v>0.00178820505169735</v>
      </c>
      <c r="AK167" s="220" t="n">
        <f aca="false">Algae_electricity_factor/O167</f>
        <v>0.00171895104504194</v>
      </c>
      <c r="AL167" s="220" t="n">
        <f aca="false">Algae_electricity_factor/P167</f>
        <v>0.00162704119091646</v>
      </c>
      <c r="AM167" s="220" t="n">
        <f aca="false">Algae_electricity_factor/Q167</f>
        <v>0.00151611020022252</v>
      </c>
      <c r="AN167" s="220" t="n">
        <f aca="false">Algae_electricity_factor/R167</f>
        <v>0.00139658674041355</v>
      </c>
      <c r="AO167" s="220" t="n">
        <f aca="false">Algae_electricity_factor/S167</f>
        <v>0.00128257002161594</v>
      </c>
      <c r="AP167" s="220" t="n">
        <f aca="false">Algae_electricity_factor/T167</f>
        <v>0.00118576471867482</v>
      </c>
      <c r="AQ167" s="220" t="n">
        <f aca="false">Algae_electricity_factor/U167</f>
        <v>0.00111137488712051</v>
      </c>
      <c r="AR167" s="220" t="n">
        <f aca="false">Algae_electricity_factor/V167</f>
        <v>0.00105847383841615</v>
      </c>
      <c r="AS167" s="220" t="n">
        <f aca="false">Algae_electricity_factor/W167</f>
        <v>0.0010228934609428</v>
      </c>
      <c r="AT167" s="220" t="n">
        <f aca="false">Algae_electricity_factor/X167</f>
        <v>0.000999850953005713</v>
      </c>
      <c r="AU167" s="220" t="n">
        <f aca="false">Algae_electricity_factor/Y167</f>
        <v>0.000985291675228094</v>
      </c>
      <c r="AV167" s="220" t="n">
        <f aca="false">Algae_electricity_factor/Z167</f>
        <v>0.000976235333899397</v>
      </c>
      <c r="AW167" s="220" t="n">
        <f aca="false">Algae_electricity_factor/AA167</f>
        <v>0.000970656734122476</v>
      </c>
      <c r="AX167" s="220" t="n">
        <f aca="false">Algae_electricity_factor/AB167</f>
        <v>0.000967241027049025</v>
      </c>
      <c r="AY167" s="220" t="n">
        <f aca="false">Algae_electricity_factor/AC167</f>
        <v>0.000965157343320615</v>
      </c>
      <c r="AZ167" s="221" t="n">
        <f aca="false">Algae_yield_cost_factor/H167</f>
        <v>0.106504206356609</v>
      </c>
      <c r="BA167" s="197" t="n">
        <f aca="false">Algae_yield_cost_factor/I167</f>
        <v>0.106504206356609</v>
      </c>
      <c r="BB167" s="197" t="n">
        <f aca="false">Algae_yield_cost_factor/J167</f>
        <v>0.106504206356609</v>
      </c>
      <c r="BC167" s="197" t="n">
        <f aca="false">Algae_yield_cost_factor/K167</f>
        <v>0.106504206356609</v>
      </c>
      <c r="BD167" s="197" t="n">
        <f aca="false">Algae_yield_cost_factor/L167</f>
        <v>0.106504206356609</v>
      </c>
      <c r="BE167" s="197" t="n">
        <f aca="false">Algae_yield_cost_factor/M167</f>
        <v>0.101681855569892</v>
      </c>
      <c r="BF167" s="197" t="n">
        <f aca="false">Algae_yield_cost_factor/N167</f>
        <v>0.098994652208255</v>
      </c>
      <c r="BG167" s="197" t="n">
        <f aca="false">Algae_yield_cost_factor/O167</f>
        <v>0.0951607650953796</v>
      </c>
      <c r="BH167" s="197" t="n">
        <f aca="false">Algae_yield_cost_factor/P167</f>
        <v>0.0900726550740892</v>
      </c>
      <c r="BI167" s="197" t="n">
        <f aca="false">Algae_yield_cost_factor/Q167</f>
        <v>0.083931538968618</v>
      </c>
      <c r="BJ167" s="197" t="n">
        <f aca="false">Algae_yield_cost_factor/R167</f>
        <v>0.0773147455962446</v>
      </c>
      <c r="BK167" s="197" t="n">
        <f aca="false">Algae_yield_cost_factor/S167</f>
        <v>0.0710028042377395</v>
      </c>
      <c r="BL167" s="197" t="n">
        <f aca="false">Algae_yield_cost_factor/T167</f>
        <v>0.0656436832088204</v>
      </c>
      <c r="BM167" s="197" t="n">
        <f aca="false">Algae_yield_cost_factor/U167</f>
        <v>0.0615254779193543</v>
      </c>
      <c r="BN167" s="197" t="n">
        <f aca="false">Algae_yield_cost_factor/V167</f>
        <v>0.0585968870885829</v>
      </c>
      <c r="BO167" s="197" t="n">
        <f aca="false">Algae_yield_cost_factor/W167</f>
        <v>0.0566271649417469</v>
      </c>
      <c r="BP167" s="197" t="n">
        <f aca="false">Algae_yield_cost_factor/X167</f>
        <v>0.055351536591926</v>
      </c>
      <c r="BQ167" s="197" t="n">
        <f aca="false">Algae_yield_cost_factor/Y167</f>
        <v>0.054545538063608</v>
      </c>
      <c r="BR167" s="197" t="n">
        <f aca="false">Algae_yield_cost_factor/Z167</f>
        <v>0.0540441809293898</v>
      </c>
      <c r="BS167" s="197" t="n">
        <f aca="false">Algae_yield_cost_factor/AA167</f>
        <v>0.0537353508295077</v>
      </c>
      <c r="BT167" s="197" t="n">
        <f aca="false">Algae_yield_cost_factor/AB167</f>
        <v>0.053546258010728</v>
      </c>
      <c r="BU167" s="197" t="n">
        <f aca="false">Algae_yield_cost_factor/AC167</f>
        <v>0.053430905721677</v>
      </c>
    </row>
    <row r="168" customFormat="false" ht="15" hidden="false" customHeight="false" outlineLevel="0" collapsed="false">
      <c r="A168" s="18" t="s">
        <v>716</v>
      </c>
      <c r="B168" s="18" t="s">
        <v>22</v>
      </c>
      <c r="C168" s="18" t="s">
        <v>691</v>
      </c>
      <c r="D168" s="18" t="s">
        <v>691</v>
      </c>
      <c r="E168" s="28" t="n">
        <v>7.04535775</v>
      </c>
      <c r="F168" s="185" t="n">
        <f aca="false">E168/$B$2*$F$3/1000</f>
        <v>0.0172611264875</v>
      </c>
      <c r="G168" s="18" t="n">
        <f aca="false">LOOKUP(RIGHT(D168,5),Ref!$C$4:$C$21,Ref!$E$4:$E$21)*$G$3</f>
        <v>2</v>
      </c>
      <c r="H168" s="218" t="n">
        <f aca="false">$E168</f>
        <v>7.04535775</v>
      </c>
      <c r="I168" s="177" t="n">
        <f aca="false">$E168</f>
        <v>7.04535775</v>
      </c>
      <c r="J168" s="177" t="n">
        <f aca="false">$E168</f>
        <v>7.04535775</v>
      </c>
      <c r="K168" s="177" t="n">
        <f aca="false">$E168</f>
        <v>7.04535775</v>
      </c>
      <c r="L168" s="177" t="n">
        <f aca="false">$E168</f>
        <v>7.04535775</v>
      </c>
      <c r="M168" s="177" t="n">
        <f aca="false">M$3*$E168</f>
        <v>7.37948999314209</v>
      </c>
      <c r="N168" s="177" t="n">
        <f aca="false">N$3*$E168</f>
        <v>7.57980576651356</v>
      </c>
      <c r="O168" s="177" t="n">
        <f aca="false">O$3*$E168</f>
        <v>7.88518498049117</v>
      </c>
      <c r="P168" s="177" t="n">
        <f aca="false">P$3*$E168</f>
        <v>8.33061082794692</v>
      </c>
      <c r="Q168" s="177" t="n">
        <f aca="false">Q$3*$E168</f>
        <v>8.94014627734511</v>
      </c>
      <c r="R168" s="177" t="n">
        <f aca="false">R$3*$E168</f>
        <v>9.7052668268572</v>
      </c>
      <c r="S168" s="177" t="n">
        <f aca="false">S$3*$E168</f>
        <v>10.568036625</v>
      </c>
      <c r="T168" s="177" t="n">
        <f aca="false">T$3*$E168</f>
        <v>11.4308064231428</v>
      </c>
      <c r="U168" s="177" t="n">
        <f aca="false">U$3*$E168</f>
        <v>12.1959269726549</v>
      </c>
      <c r="V168" s="177" t="n">
        <f aca="false">V$3*$E168</f>
        <v>12.8054624220531</v>
      </c>
      <c r="W168" s="177" t="n">
        <f aca="false">W$3*$E168</f>
        <v>13.2508882695088</v>
      </c>
      <c r="X168" s="177" t="n">
        <f aca="false">X$3*$E168</f>
        <v>13.5562674834864</v>
      </c>
      <c r="Y168" s="177" t="n">
        <f aca="false">Y$3*$E168</f>
        <v>13.7565832568579</v>
      </c>
      <c r="Z168" s="177" t="n">
        <f aca="false">Z$3*$E168</f>
        <v>13.8842003479061</v>
      </c>
      <c r="AA168" s="177" t="n">
        <f aca="false">AA$3*$E168</f>
        <v>13.9639962162505</v>
      </c>
      <c r="AB168" s="177" t="n">
        <f aca="false">AB$3*$E168</f>
        <v>14.0133085585887</v>
      </c>
      <c r="AC168" s="177" t="n">
        <f aca="false">AC$3*$E168</f>
        <v>14.043561970871</v>
      </c>
      <c r="AD168" s="219" t="n">
        <f aca="false">Algae_electricity_factor/H168</f>
        <v>0.00195073090554263</v>
      </c>
      <c r="AE168" s="220" t="n">
        <f aca="false">Algae_electricity_factor/I168</f>
        <v>0.00195073090554263</v>
      </c>
      <c r="AF168" s="220" t="n">
        <f aca="false">Algae_electricity_factor/J168</f>
        <v>0.00195073090554263</v>
      </c>
      <c r="AG168" s="220" t="n">
        <f aca="false">Algae_electricity_factor/K168</f>
        <v>0.00195073090554263</v>
      </c>
      <c r="AH168" s="220" t="n">
        <f aca="false">Algae_electricity_factor/L168</f>
        <v>0.00195073090554263</v>
      </c>
      <c r="AI168" s="220" t="n">
        <f aca="false">Algae_electricity_factor/M168</f>
        <v>0.00186240473478539</v>
      </c>
      <c r="AJ168" s="220" t="n">
        <f aca="false">Algae_electricity_factor/N168</f>
        <v>0.00181318592149767</v>
      </c>
      <c r="AK168" s="220" t="n">
        <f aca="false">Algae_electricity_factor/O168</f>
        <v>0.00174296445010896</v>
      </c>
      <c r="AL168" s="220" t="n">
        <f aca="false">Algae_electricity_factor/P168</f>
        <v>0.00164977063355586</v>
      </c>
      <c r="AM168" s="220" t="n">
        <f aca="false">Algae_electricity_factor/Q168</f>
        <v>0.00153728995893013</v>
      </c>
      <c r="AN168" s="220" t="n">
        <f aca="false">Algae_electricity_factor/R168</f>
        <v>0.00141609678010056</v>
      </c>
      <c r="AO168" s="220" t="n">
        <f aca="false">Algae_electricity_factor/S168</f>
        <v>0.00130048727036175</v>
      </c>
      <c r="AP168" s="220" t="n">
        <f aca="false">Algae_electricity_factor/T168</f>
        <v>0.00120232961654429</v>
      </c>
      <c r="AQ168" s="220" t="n">
        <f aca="false">Algae_electricity_factor/U168</f>
        <v>0.00112690057380177</v>
      </c>
      <c r="AR168" s="220" t="n">
        <f aca="false">Algae_electricity_factor/V168</f>
        <v>0.00107326050794234</v>
      </c>
      <c r="AS168" s="220" t="n">
        <f aca="false">Algae_electricity_factor/W168</f>
        <v>0.00103718307965468</v>
      </c>
      <c r="AT168" s="220" t="n">
        <f aca="false">Algae_electricity_factor/X168</f>
        <v>0.00101381867245324</v>
      </c>
      <c r="AU168" s="220" t="n">
        <f aca="false">Algae_electricity_factor/Y168</f>
        <v>0.000999056004453564</v>
      </c>
      <c r="AV168" s="220" t="n">
        <f aca="false">Algae_electricity_factor/Z168</f>
        <v>0.000989873147833243</v>
      </c>
      <c r="AW168" s="220" t="n">
        <f aca="false">Algae_electricity_factor/AA168</f>
        <v>0.000984216616124208</v>
      </c>
      <c r="AX168" s="220" t="n">
        <f aca="false">Algae_electricity_factor/AB168</f>
        <v>0.000980753192300602</v>
      </c>
      <c r="AY168" s="220" t="n">
        <f aca="false">Algae_electricity_factor/AC168</f>
        <v>0.0009786403999239</v>
      </c>
      <c r="AZ168" s="221" t="n">
        <f aca="false">Algae_yield_cost_factor/H168</f>
        <v>0.107992048989452</v>
      </c>
      <c r="BA168" s="197" t="n">
        <f aca="false">Algae_yield_cost_factor/I168</f>
        <v>0.107992048989452</v>
      </c>
      <c r="BB168" s="197" t="n">
        <f aca="false">Algae_yield_cost_factor/J168</f>
        <v>0.107992048989452</v>
      </c>
      <c r="BC168" s="197" t="n">
        <f aca="false">Algae_yield_cost_factor/K168</f>
        <v>0.107992048989452</v>
      </c>
      <c r="BD168" s="197" t="n">
        <f aca="false">Algae_yield_cost_factor/L168</f>
        <v>0.107992048989452</v>
      </c>
      <c r="BE168" s="197" t="n">
        <f aca="false">Algae_yield_cost_factor/M168</f>
        <v>0.103102330918977</v>
      </c>
      <c r="BF168" s="197" t="n">
        <f aca="false">Algae_yield_cost_factor/N168</f>
        <v>0.100377587859508</v>
      </c>
      <c r="BG168" s="197" t="n">
        <f aca="false">Algae_yield_cost_factor/O168</f>
        <v>0.0964901421042915</v>
      </c>
      <c r="BH168" s="197" t="n">
        <f aca="false">Algae_yield_cost_factor/P168</f>
        <v>0.0913309521954619</v>
      </c>
      <c r="BI168" s="197" t="n">
        <f aca="false">Algae_yield_cost_factor/Q168</f>
        <v>0.0851040459163672</v>
      </c>
      <c r="BJ168" s="197" t="n">
        <f aca="false">Algae_yield_cost_factor/R168</f>
        <v>0.078394817253324</v>
      </c>
      <c r="BK168" s="197" t="n">
        <f aca="false">Algae_yield_cost_factor/S168</f>
        <v>0.0719946993263016</v>
      </c>
      <c r="BL168" s="197" t="n">
        <f aca="false">Algae_yield_cost_factor/T168</f>
        <v>0.0665607124398342</v>
      </c>
      <c r="BM168" s="197" t="n">
        <f aca="false">Algae_yield_cost_factor/U168</f>
        <v>0.0623849766395078</v>
      </c>
      <c r="BN168" s="197" t="n">
        <f aca="false">Algae_yield_cost_factor/V168</f>
        <v>0.0594154739758498</v>
      </c>
      <c r="BO168" s="197" t="n">
        <f aca="false">Algae_yield_cost_factor/W168</f>
        <v>0.0574182352014066</v>
      </c>
      <c r="BP168" s="197" t="n">
        <f aca="false">Algae_yield_cost_factor/X168</f>
        <v>0.0561247865766176</v>
      </c>
      <c r="BQ168" s="197" t="n">
        <f aca="false">Algae_yield_cost_factor/Y168</f>
        <v>0.0553075284087656</v>
      </c>
      <c r="BR168" s="197" t="n">
        <f aca="false">Algae_yield_cost_factor/Z168</f>
        <v>0.0547991674148493</v>
      </c>
      <c r="BS168" s="197" t="n">
        <f aca="false">Algae_yield_cost_factor/AA168</f>
        <v>0.0544860230197424</v>
      </c>
      <c r="BT168" s="197" t="n">
        <f aca="false">Algae_yield_cost_factor/AB168</f>
        <v>0.0542942886117995</v>
      </c>
      <c r="BU168" s="197" t="n">
        <f aca="false">Algae_yield_cost_factor/AC168</f>
        <v>0.0541773248741558</v>
      </c>
    </row>
    <row r="169" customFormat="false" ht="15" hidden="false" customHeight="false" outlineLevel="0" collapsed="false">
      <c r="A169" s="18" t="s">
        <v>716</v>
      </c>
      <c r="B169" s="18" t="s">
        <v>22</v>
      </c>
      <c r="C169" s="18" t="s">
        <v>692</v>
      </c>
      <c r="D169" s="18" t="s">
        <v>692</v>
      </c>
      <c r="E169" s="28" t="n">
        <v>6.7493975</v>
      </c>
      <c r="F169" s="185" t="n">
        <f aca="false">E169/$B$2*$F$3/1000</f>
        <v>0.016536023875</v>
      </c>
      <c r="G169" s="18" t="n">
        <f aca="false">LOOKUP(RIGHT(D169,5),Ref!$C$4:$C$21,Ref!$E$4:$E$21)*$G$3</f>
        <v>2.5</v>
      </c>
      <c r="H169" s="218" t="n">
        <f aca="false">$E169</f>
        <v>6.7493975</v>
      </c>
      <c r="I169" s="177" t="n">
        <f aca="false">$E169</f>
        <v>6.7493975</v>
      </c>
      <c r="J169" s="177" t="n">
        <f aca="false">$E169</f>
        <v>6.7493975</v>
      </c>
      <c r="K169" s="177" t="n">
        <f aca="false">$E169</f>
        <v>6.7493975</v>
      </c>
      <c r="L169" s="177" t="n">
        <f aca="false">$E169</f>
        <v>6.7493975</v>
      </c>
      <c r="M169" s="177" t="n">
        <f aca="false">M$3*$E169</f>
        <v>7.06949356985999</v>
      </c>
      <c r="N169" s="177" t="n">
        <f aca="false">N$3*$E169</f>
        <v>7.26139451058993</v>
      </c>
      <c r="O169" s="177" t="n">
        <f aca="false">O$3*$E169</f>
        <v>7.55394540388877</v>
      </c>
      <c r="P169" s="177" t="n">
        <f aca="false">P$3*$E169</f>
        <v>7.98065987431481</v>
      </c>
      <c r="Q169" s="177" t="n">
        <f aca="false">Q$3*$E169</f>
        <v>8.56459005704109</v>
      </c>
      <c r="R169" s="177" t="n">
        <f aca="false">R$3*$E169</f>
        <v>9.29756954613453</v>
      </c>
      <c r="S169" s="177" t="n">
        <f aca="false">S$3*$E169</f>
        <v>10.12409625</v>
      </c>
      <c r="T169" s="177" t="n">
        <f aca="false">T$3*$E169</f>
        <v>10.9506229538655</v>
      </c>
      <c r="U169" s="177" t="n">
        <f aca="false">U$3*$E169</f>
        <v>11.6836024429589</v>
      </c>
      <c r="V169" s="177" t="n">
        <f aca="false">V$3*$E169</f>
        <v>12.2675326256852</v>
      </c>
      <c r="W169" s="177" t="n">
        <f aca="false">W$3*$E169</f>
        <v>12.6942470961112</v>
      </c>
      <c r="X169" s="177" t="n">
        <f aca="false">X$3*$E169</f>
        <v>12.9867979894101</v>
      </c>
      <c r="Y169" s="177" t="n">
        <f aca="false">Y$3*$E169</f>
        <v>13.17869893014</v>
      </c>
      <c r="Z169" s="177" t="n">
        <f aca="false">Z$3*$E169</f>
        <v>13.3009551030474</v>
      </c>
      <c r="AA169" s="177" t="n">
        <f aca="false">AA$3*$E169</f>
        <v>13.3773989194474</v>
      </c>
      <c r="AB169" s="177" t="n">
        <f aca="false">AB$3*$E169</f>
        <v>13.4246397568764</v>
      </c>
      <c r="AC169" s="177" t="n">
        <f aca="false">AC$3*$E169</f>
        <v>13.4536222887038</v>
      </c>
      <c r="AD169" s="219" t="n">
        <f aca="false">Algae_electricity_factor/H169</f>
        <v>0.00203627021575322</v>
      </c>
      <c r="AE169" s="220" t="n">
        <f aca="false">Algae_electricity_factor/I169</f>
        <v>0.00203627021575322</v>
      </c>
      <c r="AF169" s="220" t="n">
        <f aca="false">Algae_electricity_factor/J169</f>
        <v>0.00203627021575322</v>
      </c>
      <c r="AG169" s="220" t="n">
        <f aca="false">Algae_electricity_factor/K169</f>
        <v>0.00203627021575322</v>
      </c>
      <c r="AH169" s="220" t="n">
        <f aca="false">Algae_electricity_factor/L169</f>
        <v>0.00203627021575322</v>
      </c>
      <c r="AI169" s="220" t="n">
        <f aca="false">Algae_electricity_factor/M169</f>
        <v>0.00194407095327501</v>
      </c>
      <c r="AJ169" s="220" t="n">
        <f aca="false">Algae_electricity_factor/N169</f>
        <v>0.00189269390107999</v>
      </c>
      <c r="AK169" s="220" t="n">
        <f aca="false">Algae_electricity_factor/O169</f>
        <v>0.0018193932268102</v>
      </c>
      <c r="AL169" s="220" t="n">
        <f aca="false">Algae_electricity_factor/P169</f>
        <v>0.00172211287286682</v>
      </c>
      <c r="AM169" s="220" t="n">
        <f aca="false">Algae_electricity_factor/Q169</f>
        <v>0.00160469993449721</v>
      </c>
      <c r="AN169" s="220" t="n">
        <f aca="false">Algae_electricity_factor/R169</f>
        <v>0.00147819244968629</v>
      </c>
      <c r="AO169" s="220" t="n">
        <f aca="false">Algae_electricity_factor/S169</f>
        <v>0.00135751347716881</v>
      </c>
      <c r="AP169" s="220" t="n">
        <f aca="false">Algae_electricity_factor/T169</f>
        <v>0.00125505162230774</v>
      </c>
      <c r="AQ169" s="220" t="n">
        <f aca="false">Algae_electricity_factor/U169</f>
        <v>0.00117631502532096</v>
      </c>
      <c r="AR169" s="220" t="n">
        <f aca="false">Algae_electricity_factor/V169</f>
        <v>0.00112032284917291</v>
      </c>
      <c r="AS169" s="220" t="n">
        <f aca="false">Algae_electricity_factor/W169</f>
        <v>0.00108266343009342</v>
      </c>
      <c r="AT169" s="220" t="n">
        <f aca="false">Algae_electricity_factor/X169</f>
        <v>0.00105827449651071</v>
      </c>
      <c r="AU169" s="220" t="n">
        <f aca="false">Algae_electricity_factor/Y169</f>
        <v>0.00104286448733549</v>
      </c>
      <c r="AV169" s="220" t="n">
        <f aca="false">Algae_electricity_factor/Z169</f>
        <v>0.00103327896358213</v>
      </c>
      <c r="AW169" s="220" t="n">
        <f aca="false">Algae_electricity_factor/AA169</f>
        <v>0.00102737439365358</v>
      </c>
      <c r="AX169" s="220" t="n">
        <f aca="false">Algae_electricity_factor/AB169</f>
        <v>0.00102375909912141</v>
      </c>
      <c r="AY169" s="220" t="n">
        <f aca="false">Algae_electricity_factor/AC169</f>
        <v>0.00102155366105892</v>
      </c>
      <c r="AZ169" s="221" t="n">
        <f aca="false">Algae_yield_cost_factor/H169</f>
        <v>0.112727487051432</v>
      </c>
      <c r="BA169" s="197" t="n">
        <f aca="false">Algae_yield_cost_factor/I169</f>
        <v>0.112727487051432</v>
      </c>
      <c r="BB169" s="197" t="n">
        <f aca="false">Algae_yield_cost_factor/J169</f>
        <v>0.112727487051432</v>
      </c>
      <c r="BC169" s="197" t="n">
        <f aca="false">Algae_yield_cost_factor/K169</f>
        <v>0.112727487051432</v>
      </c>
      <c r="BD169" s="197" t="n">
        <f aca="false">Algae_yield_cost_factor/L169</f>
        <v>0.112727487051432</v>
      </c>
      <c r="BE169" s="197" t="n">
        <f aca="false">Algae_yield_cost_factor/M169</f>
        <v>0.107623355445146</v>
      </c>
      <c r="BF169" s="197" t="n">
        <f aca="false">Algae_yield_cost_factor/N169</f>
        <v>0.104779132737743</v>
      </c>
      <c r="BG169" s="197" t="n">
        <f aca="false">Algae_yield_cost_factor/O169</f>
        <v>0.100721222964431</v>
      </c>
      <c r="BH169" s="197" t="n">
        <f aca="false">Algae_yield_cost_factor/P169</f>
        <v>0.0953358032128315</v>
      </c>
      <c r="BI169" s="197" t="n">
        <f aca="false">Algae_yield_cost_factor/Q169</f>
        <v>0.0888358478594917</v>
      </c>
      <c r="BJ169" s="197" t="n">
        <f aca="false">Algae_yield_cost_factor/R169</f>
        <v>0.0818324203450071</v>
      </c>
      <c r="BK169" s="197" t="n">
        <f aca="false">Algae_yield_cost_factor/S169</f>
        <v>0.075151658034288</v>
      </c>
      <c r="BL169" s="197" t="n">
        <f aca="false">Algae_yield_cost_factor/T169</f>
        <v>0.0694793914913898</v>
      </c>
      <c r="BM169" s="197" t="n">
        <f aca="false">Algae_yield_cost_factor/U169</f>
        <v>0.0651205501899577</v>
      </c>
      <c r="BN169" s="197" t="n">
        <f aca="false">Algae_yield_cost_factor/V169</f>
        <v>0.0620208351998348</v>
      </c>
      <c r="BO169" s="197" t="n">
        <f aca="false">Algae_yield_cost_factor/W169</f>
        <v>0.0599360177508515</v>
      </c>
      <c r="BP169" s="197" t="n">
        <f aca="false">Algae_yield_cost_factor/X169</f>
        <v>0.0585858515629979</v>
      </c>
      <c r="BQ169" s="197" t="n">
        <f aca="false">Algae_yield_cost_factor/Y169</f>
        <v>0.0577327567250324</v>
      </c>
      <c r="BR169" s="197" t="n">
        <f aca="false">Algae_yield_cost_factor/Z169</f>
        <v>0.0572021041640763</v>
      </c>
      <c r="BS169" s="197" t="n">
        <f aca="false">Algae_yield_cost_factor/AA169</f>
        <v>0.0568752284257699</v>
      </c>
      <c r="BT169" s="197" t="n">
        <f aca="false">Algae_yield_cost_factor/AB169</f>
        <v>0.0566750864876278</v>
      </c>
      <c r="BU169" s="197" t="n">
        <f aca="false">Algae_yield_cost_factor/AC169</f>
        <v>0.0565529939044783</v>
      </c>
    </row>
    <row r="170" customFormat="false" ht="15" hidden="false" customHeight="false" outlineLevel="0" collapsed="false">
      <c r="A170" s="18" t="s">
        <v>716</v>
      </c>
      <c r="B170" s="18" t="s">
        <v>22</v>
      </c>
      <c r="C170" s="18" t="s">
        <v>693</v>
      </c>
      <c r="D170" s="18" t="s">
        <v>693</v>
      </c>
      <c r="E170" s="28" t="n">
        <v>5.89183</v>
      </c>
      <c r="F170" s="185" t="n">
        <f aca="false">E170/$B$2*$F$3/1000</f>
        <v>0.0144349835</v>
      </c>
      <c r="G170" s="18" t="n">
        <f aca="false">LOOKUP(RIGHT(D170,5),Ref!$C$4:$C$21,Ref!$E$4:$E$21)*$G$3</f>
        <v>3</v>
      </c>
      <c r="H170" s="218" t="n">
        <f aca="false">$E170</f>
        <v>5.89183</v>
      </c>
      <c r="I170" s="177" t="n">
        <f aca="false">$E170</f>
        <v>5.89183</v>
      </c>
      <c r="J170" s="177" t="n">
        <f aca="false">$E170</f>
        <v>5.89183</v>
      </c>
      <c r="K170" s="177" t="n">
        <f aca="false">$E170</f>
        <v>5.89183</v>
      </c>
      <c r="L170" s="177" t="n">
        <f aca="false">$E170</f>
        <v>5.89183</v>
      </c>
      <c r="M170" s="177" t="n">
        <f aca="false">M$3*$E170</f>
        <v>6.17125518236378</v>
      </c>
      <c r="N170" s="177" t="n">
        <f aca="false">N$3*$E170</f>
        <v>6.33877350079456</v>
      </c>
      <c r="O170" s="177" t="n">
        <f aca="false">O$3*$E170</f>
        <v>6.59415335205757</v>
      </c>
      <c r="P170" s="177" t="n">
        <f aca="false">P$3*$E170</f>
        <v>6.966650173928</v>
      </c>
      <c r="Q170" s="177" t="n">
        <f aca="false">Q$3*$E170</f>
        <v>7.47638713467038</v>
      </c>
      <c r="R170" s="177" t="n">
        <f aca="false">R$3*$E170</f>
        <v>8.11623543864498</v>
      </c>
      <c r="S170" s="177" t="n">
        <f aca="false">S$3*$E170</f>
        <v>8.837745</v>
      </c>
      <c r="T170" s="177" t="n">
        <f aca="false">T$3*$E170</f>
        <v>9.55925456135502</v>
      </c>
      <c r="U170" s="177" t="n">
        <f aca="false">U$3*$E170</f>
        <v>10.1991028653296</v>
      </c>
      <c r="V170" s="177" t="n">
        <f aca="false">V$3*$E170</f>
        <v>10.708839826072</v>
      </c>
      <c r="W170" s="177" t="n">
        <f aca="false">W$3*$E170</f>
        <v>11.0813366479424</v>
      </c>
      <c r="X170" s="177" t="n">
        <f aca="false">X$3*$E170</f>
        <v>11.3367164992054</v>
      </c>
      <c r="Y170" s="177" t="n">
        <f aca="false">Y$3*$E170</f>
        <v>11.5042348176362</v>
      </c>
      <c r="Z170" s="177" t="n">
        <f aca="false">Z$3*$E170</f>
        <v>11.6109573194922</v>
      </c>
      <c r="AA170" s="177" t="n">
        <f aca="false">AA$3*$E170</f>
        <v>11.6776883085591</v>
      </c>
      <c r="AB170" s="177" t="n">
        <f aca="false">AB$3*$E170</f>
        <v>11.7189268018008</v>
      </c>
      <c r="AC170" s="177" t="n">
        <f aca="false">AC$3*$E170</f>
        <v>11.7442268601388</v>
      </c>
      <c r="AD170" s="219" t="n">
        <f aca="false">Algae_electricity_factor/H170</f>
        <v>0.00233265336975596</v>
      </c>
      <c r="AE170" s="220" t="n">
        <f aca="false">Algae_electricity_factor/I170</f>
        <v>0.00233265336975596</v>
      </c>
      <c r="AF170" s="220" t="n">
        <f aca="false">Algae_electricity_factor/J170</f>
        <v>0.00233265336975596</v>
      </c>
      <c r="AG170" s="220" t="n">
        <f aca="false">Algae_electricity_factor/K170</f>
        <v>0.00233265336975596</v>
      </c>
      <c r="AH170" s="220" t="n">
        <f aca="false">Algae_electricity_factor/L170</f>
        <v>0.00233265336975596</v>
      </c>
      <c r="AI170" s="220" t="n">
        <f aca="false">Algae_electricity_factor/M170</f>
        <v>0.00222703432241884</v>
      </c>
      <c r="AJ170" s="220" t="n">
        <f aca="false">Algae_electricity_factor/N170</f>
        <v>0.00216817923874493</v>
      </c>
      <c r="AK170" s="220" t="n">
        <f aca="false">Algae_electricity_factor/O170</f>
        <v>0.00208420950647756</v>
      </c>
      <c r="AL170" s="220" t="n">
        <f aca="false">Algae_electricity_factor/P170</f>
        <v>0.00197276980477121</v>
      </c>
      <c r="AM170" s="220" t="n">
        <f aca="false">Algae_electricity_factor/Q170</f>
        <v>0.00183826718118914</v>
      </c>
      <c r="AN170" s="220" t="n">
        <f aca="false">Algae_electricity_factor/R170</f>
        <v>0.0016933462819585</v>
      </c>
      <c r="AO170" s="220" t="n">
        <f aca="false">Algae_electricity_factor/S170</f>
        <v>0.00155510224650397</v>
      </c>
      <c r="AP170" s="220" t="n">
        <f aca="false">Algae_electricity_factor/T170</f>
        <v>0.00143772686618161</v>
      </c>
      <c r="AQ170" s="220" t="n">
        <f aca="false">Algae_electricity_factor/U170</f>
        <v>0.00134753000190327</v>
      </c>
      <c r="AR170" s="220" t="n">
        <f aca="false">Algae_electricity_factor/V170</f>
        <v>0.00128338805386451</v>
      </c>
      <c r="AS170" s="220" t="n">
        <f aca="false">Algae_electricity_factor/W170</f>
        <v>0.00124024723191504</v>
      </c>
      <c r="AT170" s="220" t="n">
        <f aca="false">Algae_electricity_factor/X170</f>
        <v>0.00121230844085168</v>
      </c>
      <c r="AU170" s="220" t="n">
        <f aca="false">Algae_electricity_factor/Y170</f>
        <v>0.00119465547438758</v>
      </c>
      <c r="AV170" s="220" t="n">
        <f aca="false">Algae_electricity_factor/Z170</f>
        <v>0.0011836747587089</v>
      </c>
      <c r="AW170" s="220" t="n">
        <f aca="false">Algae_electricity_factor/AA170</f>
        <v>0.00117691076695856</v>
      </c>
      <c r="AX170" s="220" t="n">
        <f aca="false">Algae_electricity_factor/AB170</f>
        <v>0.00117276925916265</v>
      </c>
      <c r="AY170" s="220" t="n">
        <f aca="false">Algae_electricity_factor/AC170</f>
        <v>0.00117024281523176</v>
      </c>
      <c r="AZ170" s="221" t="n">
        <f aca="false">Algae_yield_cost_factor/H170</f>
        <v>0.129135195565082</v>
      </c>
      <c r="BA170" s="197" t="n">
        <f aca="false">Algae_yield_cost_factor/I170</f>
        <v>0.129135195565082</v>
      </c>
      <c r="BB170" s="197" t="n">
        <f aca="false">Algae_yield_cost_factor/J170</f>
        <v>0.129135195565082</v>
      </c>
      <c r="BC170" s="197" t="n">
        <f aca="false">Algae_yield_cost_factor/K170</f>
        <v>0.129135195565082</v>
      </c>
      <c r="BD170" s="197" t="n">
        <f aca="false">Algae_yield_cost_factor/L170</f>
        <v>0.129135195565082</v>
      </c>
      <c r="BE170" s="197" t="n">
        <f aca="false">Algae_yield_cost_factor/M170</f>
        <v>0.12328814751666</v>
      </c>
      <c r="BF170" s="197" t="n">
        <f aca="false">Algae_yield_cost_factor/N170</f>
        <v>0.120029942573409</v>
      </c>
      <c r="BG170" s="197" t="n">
        <f aca="false">Algae_yield_cost_factor/O170</f>
        <v>0.115381396013305</v>
      </c>
      <c r="BH170" s="197" t="n">
        <f aca="false">Algae_yield_cost_factor/P170</f>
        <v>0.109212117774134</v>
      </c>
      <c r="BI170" s="197" t="n">
        <f aca="false">Algae_yield_cost_factor/Q170</f>
        <v>0.101766081073832</v>
      </c>
      <c r="BJ170" s="197" t="n">
        <f aca="false">Algae_yield_cost_factor/R170</f>
        <v>0.0937432908443624</v>
      </c>
      <c r="BK170" s="197" t="n">
        <f aca="false">Algae_yield_cost_factor/S170</f>
        <v>0.0860901303767214</v>
      </c>
      <c r="BL170" s="197" t="n">
        <f aca="false">Algae_yield_cost_factor/T170</f>
        <v>0.079592254228908</v>
      </c>
      <c r="BM170" s="197" t="n">
        <f aca="false">Algae_yield_cost_factor/U170</f>
        <v>0.0745989749620619</v>
      </c>
      <c r="BN170" s="197" t="n">
        <f aca="false">Algae_yield_cost_factor/V170</f>
        <v>0.0710480903294353</v>
      </c>
      <c r="BO170" s="197" t="n">
        <f aca="false">Algae_yield_cost_factor/W170</f>
        <v>0.0686598235807131</v>
      </c>
      <c r="BP170" s="197" t="n">
        <f aca="false">Algae_yield_cost_factor/X170</f>
        <v>0.0671131380360039</v>
      </c>
      <c r="BQ170" s="197" t="n">
        <f aca="false">Algae_yield_cost_factor/Y170</f>
        <v>0.066135873558477</v>
      </c>
      <c r="BR170" s="197" t="n">
        <f aca="false">Algae_yield_cost_factor/Z170</f>
        <v>0.0655279834685923</v>
      </c>
      <c r="BS170" s="197" t="n">
        <f aca="false">Algae_yield_cost_factor/AA170</f>
        <v>0.0651535303206</v>
      </c>
      <c r="BT170" s="197" t="n">
        <f aca="false">Algae_yield_cost_factor/AB170</f>
        <v>0.0649242573278385</v>
      </c>
      <c r="BU170" s="197" t="n">
        <f aca="false">Algae_yield_cost_factor/AC170</f>
        <v>0.064784393927931</v>
      </c>
    </row>
    <row r="171" customFormat="false" ht="15" hidden="false" customHeight="false" outlineLevel="0" collapsed="false">
      <c r="A171" s="18" t="s">
        <v>716</v>
      </c>
      <c r="B171" s="18" t="s">
        <v>22</v>
      </c>
      <c r="C171" s="18" t="s">
        <v>694</v>
      </c>
      <c r="D171" s="18" t="s">
        <v>694</v>
      </c>
      <c r="E171" s="28" t="n">
        <v>6.3114705</v>
      </c>
      <c r="F171" s="185" t="n">
        <f aca="false">E171/$B$2*$F$3/1000</f>
        <v>0.015463102725</v>
      </c>
      <c r="G171" s="18" t="n">
        <f aca="false">LOOKUP(RIGHT(D171,5),Ref!$C$4:$C$21,Ref!$E$4:$E$21)*$G$3</f>
        <v>3</v>
      </c>
      <c r="H171" s="218" t="n">
        <f aca="false">$E171</f>
        <v>6.3114705</v>
      </c>
      <c r="I171" s="177" t="n">
        <f aca="false">$E171</f>
        <v>6.3114705</v>
      </c>
      <c r="J171" s="177" t="n">
        <f aca="false">$E171</f>
        <v>6.3114705</v>
      </c>
      <c r="K171" s="177" t="n">
        <f aca="false">$E171</f>
        <v>6.3114705</v>
      </c>
      <c r="L171" s="177" t="n">
        <f aca="false">$E171</f>
        <v>6.3114705</v>
      </c>
      <c r="M171" s="177" t="n">
        <f aca="false">M$3*$E171</f>
        <v>6.61079749949695</v>
      </c>
      <c r="N171" s="177" t="n">
        <f aca="false">N$3*$E171</f>
        <v>6.79024716538777</v>
      </c>
      <c r="O171" s="177" t="n">
        <f aca="false">O$3*$E171</f>
        <v>7.0638162258564</v>
      </c>
      <c r="P171" s="177" t="n">
        <f aca="false">P$3*$E171</f>
        <v>7.46284381195087</v>
      </c>
      <c r="Q171" s="177" t="n">
        <f aca="false">Q$3*$E171</f>
        <v>8.0088863472048</v>
      </c>
      <c r="R171" s="177" t="n">
        <f aca="false">R$3*$E171</f>
        <v>8.69430729366977</v>
      </c>
      <c r="S171" s="177" t="n">
        <f aca="false">S$3*$E171</f>
        <v>9.46720575</v>
      </c>
      <c r="T171" s="177" t="n">
        <f aca="false">T$3*$E171</f>
        <v>10.2401042063302</v>
      </c>
      <c r="U171" s="177" t="n">
        <f aca="false">U$3*$E171</f>
        <v>10.9255251527952</v>
      </c>
      <c r="V171" s="177" t="n">
        <f aca="false">V$3*$E171</f>
        <v>11.4715676880491</v>
      </c>
      <c r="W171" s="177" t="n">
        <f aca="false">W$3*$E171</f>
        <v>11.8705952741436</v>
      </c>
      <c r="X171" s="177" t="n">
        <f aca="false">X$3*$E171</f>
        <v>12.1441643346122</v>
      </c>
      <c r="Y171" s="177" t="n">
        <f aca="false">Y$3*$E171</f>
        <v>12.323614000503</v>
      </c>
      <c r="Z171" s="177" t="n">
        <f aca="false">Z$3*$E171</f>
        <v>12.4379377203236</v>
      </c>
      <c r="AA171" s="177" t="n">
        <f aca="false">AA$3*$E171</f>
        <v>12.5094215664175</v>
      </c>
      <c r="AB171" s="177" t="n">
        <f aca="false">AB$3*$E171</f>
        <v>12.5535972357018</v>
      </c>
      <c r="AC171" s="177" t="n">
        <f aca="false">AC$3*$E171</f>
        <v>12.5806992688305</v>
      </c>
      <c r="AD171" s="219" t="n">
        <f aca="false">Algae_electricity_factor/H171</f>
        <v>0.002177558637647</v>
      </c>
      <c r="AE171" s="220" t="n">
        <f aca="false">Algae_electricity_factor/I171</f>
        <v>0.002177558637647</v>
      </c>
      <c r="AF171" s="220" t="n">
        <f aca="false">Algae_electricity_factor/J171</f>
        <v>0.002177558637647</v>
      </c>
      <c r="AG171" s="220" t="n">
        <f aca="false">Algae_electricity_factor/K171</f>
        <v>0.002177558637647</v>
      </c>
      <c r="AH171" s="220" t="n">
        <f aca="false">Algae_electricity_factor/L171</f>
        <v>0.002177558637647</v>
      </c>
      <c r="AI171" s="220" t="n">
        <f aca="false">Algae_electricity_factor/M171</f>
        <v>0.00207896204725301</v>
      </c>
      <c r="AJ171" s="220" t="n">
        <f aca="false">Algae_electricity_factor/N171</f>
        <v>0.00202402015254837</v>
      </c>
      <c r="AK171" s="220" t="n">
        <f aca="false">Algae_electricity_factor/O171</f>
        <v>0.00194563344573181</v>
      </c>
      <c r="AL171" s="220" t="n">
        <f aca="false">Algae_electricity_factor/P171</f>
        <v>0.00184160320781744</v>
      </c>
      <c r="AM171" s="220" t="n">
        <f aca="false">Algae_electricity_factor/Q171</f>
        <v>0.00171604346818156</v>
      </c>
      <c r="AN171" s="220" t="n">
        <f aca="false">Algae_electricity_factor/R171</f>
        <v>0.00158075814890231</v>
      </c>
      <c r="AO171" s="220" t="n">
        <f aca="false">Algae_electricity_factor/S171</f>
        <v>0.00145170575843134</v>
      </c>
      <c r="AP171" s="220" t="n">
        <f aca="false">Algae_electricity_factor/T171</f>
        <v>0.00134213449654479</v>
      </c>
      <c r="AQ171" s="220" t="n">
        <f aca="false">Algae_electricity_factor/U171</f>
        <v>0.00125793469067371</v>
      </c>
      <c r="AR171" s="220" t="n">
        <f aca="false">Algae_electricity_factor/V171</f>
        <v>0.00119805744753152</v>
      </c>
      <c r="AS171" s="220" t="n">
        <f aca="false">Algae_electricity_factor/W171</f>
        <v>0.0011577849961295</v>
      </c>
      <c r="AT171" s="220" t="n">
        <f aca="false">Algae_electricity_factor/X171</f>
        <v>0.0011317038146757</v>
      </c>
      <c r="AU171" s="220" t="n">
        <f aca="false">Algae_electricity_factor/Y171</f>
        <v>0.0011152245682937</v>
      </c>
      <c r="AV171" s="220" t="n">
        <f aca="false">Algae_electricity_factor/Z171</f>
        <v>0.00110497394444034</v>
      </c>
      <c r="AW171" s="220" t="n">
        <f aca="false">Algae_electricity_factor/AA171</f>
        <v>0.00109865968067021</v>
      </c>
      <c r="AX171" s="220" t="n">
        <f aca="false">Algae_electricity_factor/AB171</f>
        <v>0.00109479353570809</v>
      </c>
      <c r="AY171" s="220" t="n">
        <f aca="false">Algae_electricity_factor/AC171</f>
        <v>0.00109243507136205</v>
      </c>
      <c r="AZ171" s="221" t="n">
        <f aca="false">Algae_yield_cost_factor/H171</f>
        <v>0.120549184106337</v>
      </c>
      <c r="BA171" s="197" t="n">
        <f aca="false">Algae_yield_cost_factor/I171</f>
        <v>0.120549184106337</v>
      </c>
      <c r="BB171" s="197" t="n">
        <f aca="false">Algae_yield_cost_factor/J171</f>
        <v>0.120549184106337</v>
      </c>
      <c r="BC171" s="197" t="n">
        <f aca="false">Algae_yield_cost_factor/K171</f>
        <v>0.120549184106337</v>
      </c>
      <c r="BD171" s="197" t="n">
        <f aca="false">Algae_yield_cost_factor/L171</f>
        <v>0.120549184106337</v>
      </c>
      <c r="BE171" s="197" t="n">
        <f aca="false">Algae_yield_cost_factor/M171</f>
        <v>0.115090897784135</v>
      </c>
      <c r="BF171" s="197" t="n">
        <f aca="false">Algae_yield_cost_factor/N171</f>
        <v>0.112049326151851</v>
      </c>
      <c r="BG171" s="197" t="n">
        <f aca="false">Algae_yield_cost_factor/O171</f>
        <v>0.107709854695997</v>
      </c>
      <c r="BH171" s="197" t="n">
        <f aca="false">Algae_yield_cost_factor/P171</f>
        <v>0.101950762800076</v>
      </c>
      <c r="BI171" s="197" t="n">
        <f aca="false">Algae_yield_cost_factor/Q171</f>
        <v>0.0949998022573715</v>
      </c>
      <c r="BJ171" s="197" t="n">
        <f aca="false">Algae_yield_cost_factor/R171</f>
        <v>0.0875104356893596</v>
      </c>
      <c r="BK171" s="197" t="n">
        <f aca="false">Algae_yield_cost_factor/S171</f>
        <v>0.0803661227375583</v>
      </c>
      <c r="BL171" s="197" t="n">
        <f aca="false">Algae_yield_cost_factor/T171</f>
        <v>0.0743002809303327</v>
      </c>
      <c r="BM171" s="197" t="n">
        <f aca="false">Algae_yield_cost_factor/U171</f>
        <v>0.069638997544348</v>
      </c>
      <c r="BN171" s="197" t="n">
        <f aca="false">Algae_yield_cost_factor/V171</f>
        <v>0.0663242060698338</v>
      </c>
      <c r="BO171" s="197" t="n">
        <f aca="false">Algae_yield_cost_factor/W171</f>
        <v>0.0640947317059555</v>
      </c>
      <c r="BP171" s="197" t="n">
        <f aca="false">Algae_yield_cost_factor/X171</f>
        <v>0.0626508830350501</v>
      </c>
      <c r="BQ171" s="197" t="n">
        <f aca="false">Algae_yield_cost_factor/Y171</f>
        <v>0.0617385954522075</v>
      </c>
      <c r="BR171" s="197" t="n">
        <f aca="false">Algae_yield_cost_factor/Z171</f>
        <v>0.061171123090848</v>
      </c>
      <c r="BS171" s="197" t="n">
        <f aca="false">Algae_yield_cost_factor/AA171</f>
        <v>0.0608215667884086</v>
      </c>
      <c r="BT171" s="197" t="n">
        <f aca="false">Algae_yield_cost_factor/AB171</f>
        <v>0.0606075378236939</v>
      </c>
      <c r="BU171" s="197" t="n">
        <f aca="false">Algae_yield_cost_factor/AC171</f>
        <v>0.0604769737379587</v>
      </c>
    </row>
    <row r="172" customFormat="false" ht="15" hidden="false" customHeight="false" outlineLevel="0" collapsed="false">
      <c r="A172" s="18" t="s">
        <v>716</v>
      </c>
      <c r="B172" s="18" t="s">
        <v>22</v>
      </c>
      <c r="C172" s="18" t="s">
        <v>682</v>
      </c>
      <c r="D172" s="18" t="s">
        <v>682</v>
      </c>
      <c r="E172" s="28" t="n">
        <v>6.53632875</v>
      </c>
      <c r="F172" s="185" t="n">
        <f aca="false">E172/$B$2*$F$3/1000</f>
        <v>0.0160140054375</v>
      </c>
      <c r="G172" s="18" t="n">
        <f aca="false">LOOKUP(RIGHT(D172,5),Ref!$C$4:$C$21,Ref!$E$4:$E$21)*$G$3</f>
        <v>3</v>
      </c>
      <c r="H172" s="218" t="n">
        <f aca="false">$E172</f>
        <v>6.53632875</v>
      </c>
      <c r="I172" s="177" t="n">
        <f aca="false">$E172</f>
        <v>6.53632875</v>
      </c>
      <c r="J172" s="177" t="n">
        <f aca="false">$E172</f>
        <v>6.53632875</v>
      </c>
      <c r="K172" s="177" t="n">
        <f aca="false">$E172</f>
        <v>6.53632875</v>
      </c>
      <c r="L172" s="177" t="n">
        <f aca="false">$E172</f>
        <v>6.53632875</v>
      </c>
      <c r="M172" s="177" t="n">
        <f aca="false">M$3*$E172</f>
        <v>6.84631984834438</v>
      </c>
      <c r="N172" s="177" t="n">
        <f aca="false">N$3*$E172</f>
        <v>7.03216275299553</v>
      </c>
      <c r="O172" s="177" t="n">
        <f aca="false">O$3*$E172</f>
        <v>7.31547823629718</v>
      </c>
      <c r="P172" s="177" t="n">
        <f aca="false">P$3*$E172</f>
        <v>7.7287219459893</v>
      </c>
      <c r="Q172" s="177" t="n">
        <f aca="false">Q$3*$E172</f>
        <v>8.29421829456656</v>
      </c>
      <c r="R172" s="177" t="n">
        <f aca="false">R$3*$E172</f>
        <v>9.00405867775955</v>
      </c>
      <c r="S172" s="177" t="n">
        <f aca="false">S$3*$E172</f>
        <v>9.804493125</v>
      </c>
      <c r="T172" s="177" t="n">
        <f aca="false">T$3*$E172</f>
        <v>10.6049275722405</v>
      </c>
      <c r="U172" s="177" t="n">
        <f aca="false">U$3*$E172</f>
        <v>11.3147679554334</v>
      </c>
      <c r="V172" s="177" t="n">
        <f aca="false">V$3*$E172</f>
        <v>11.8802643040107</v>
      </c>
      <c r="W172" s="177" t="n">
        <f aca="false">W$3*$E172</f>
        <v>12.2935080137028</v>
      </c>
      <c r="X172" s="177" t="n">
        <f aca="false">X$3*$E172</f>
        <v>12.5768234970045</v>
      </c>
      <c r="Y172" s="177" t="n">
        <f aca="false">Y$3*$E172</f>
        <v>12.7626664016556</v>
      </c>
      <c r="Z172" s="177" t="n">
        <f aca="false">Z$3*$E172</f>
        <v>12.8810631234133</v>
      </c>
      <c r="AA172" s="177" t="n">
        <f aca="false">AA$3*$E172</f>
        <v>12.9550937187212</v>
      </c>
      <c r="AB172" s="177" t="n">
        <f aca="false">AB$3*$E172</f>
        <v>13.0008432310091</v>
      </c>
      <c r="AC172" s="177" t="n">
        <f aca="false">AC$3*$E172</f>
        <v>13.0289108260841</v>
      </c>
      <c r="AD172" s="219" t="n">
        <f aca="false">Algae_electricity_factor/H172</f>
        <v>0.002102647775103</v>
      </c>
      <c r="AE172" s="220" t="n">
        <f aca="false">Algae_electricity_factor/I172</f>
        <v>0.002102647775103</v>
      </c>
      <c r="AF172" s="220" t="n">
        <f aca="false">Algae_electricity_factor/J172</f>
        <v>0.002102647775103</v>
      </c>
      <c r="AG172" s="220" t="n">
        <f aca="false">Algae_electricity_factor/K172</f>
        <v>0.002102647775103</v>
      </c>
      <c r="AH172" s="220" t="n">
        <f aca="false">Algae_electricity_factor/L172</f>
        <v>0.002102647775103</v>
      </c>
      <c r="AI172" s="220" t="n">
        <f aca="false">Algae_electricity_factor/M172</f>
        <v>0.00200744303625441</v>
      </c>
      <c r="AJ172" s="220" t="n">
        <f aca="false">Algae_electricity_factor/N172</f>
        <v>0.00195439121452</v>
      </c>
      <c r="AK172" s="220" t="n">
        <f aca="false">Algae_electricity_factor/O172</f>
        <v>0.0018787011128456</v>
      </c>
      <c r="AL172" s="220" t="n">
        <f aca="false">Algae_electricity_factor/P172</f>
        <v>0.00177824965105146</v>
      </c>
      <c r="AM172" s="220" t="n">
        <f aca="false">Algae_electricity_factor/Q172</f>
        <v>0.00165700933052757</v>
      </c>
      <c r="AN172" s="220" t="n">
        <f aca="false">Algae_electricity_factor/R172</f>
        <v>0.00152637800300842</v>
      </c>
      <c r="AO172" s="220" t="n">
        <f aca="false">Algae_electricity_factor/S172</f>
        <v>0.001401765183402</v>
      </c>
      <c r="AP172" s="220" t="n">
        <f aca="false">Algae_electricity_factor/T172</f>
        <v>0.00129596331610077</v>
      </c>
      <c r="AQ172" s="220" t="n">
        <f aca="false">Algae_electricity_factor/U172</f>
        <v>0.00121466009357527</v>
      </c>
      <c r="AR172" s="220" t="n">
        <f aca="false">Algae_electricity_factor/V172</f>
        <v>0.00115684270583858</v>
      </c>
      <c r="AS172" s="220" t="n">
        <f aca="false">Algae_electricity_factor/W172</f>
        <v>0.00111795567938868</v>
      </c>
      <c r="AT172" s="220" t="n">
        <f aca="false">Algae_electricity_factor/X172</f>
        <v>0.00109277172465708</v>
      </c>
      <c r="AU172" s="220" t="n">
        <f aca="false">Algae_electricity_factor/Y172</f>
        <v>0.001076859385884</v>
      </c>
      <c r="AV172" s="220" t="n">
        <f aca="false">Algae_electricity_factor/Z172</f>
        <v>0.00106696139688565</v>
      </c>
      <c r="AW172" s="220" t="n">
        <f aca="false">Algae_electricity_factor/AA172</f>
        <v>0.00106086435204004</v>
      </c>
      <c r="AX172" s="220" t="n">
        <f aca="false">Algae_electricity_factor/AB172</f>
        <v>0.0010571312075165</v>
      </c>
      <c r="AY172" s="220" t="n">
        <f aca="false">Algae_electricity_factor/AC172</f>
        <v>0.00105485387742576</v>
      </c>
      <c r="AZ172" s="221" t="n">
        <f aca="false">Algae_yield_cost_factor/H172</f>
        <v>0.116402134651844</v>
      </c>
      <c r="BA172" s="197" t="n">
        <f aca="false">Algae_yield_cost_factor/I172</f>
        <v>0.116402134651844</v>
      </c>
      <c r="BB172" s="197" t="n">
        <f aca="false">Algae_yield_cost_factor/J172</f>
        <v>0.116402134651844</v>
      </c>
      <c r="BC172" s="197" t="n">
        <f aca="false">Algae_yield_cost_factor/K172</f>
        <v>0.116402134651844</v>
      </c>
      <c r="BD172" s="197" t="n">
        <f aca="false">Algae_yield_cost_factor/L172</f>
        <v>0.116402134651844</v>
      </c>
      <c r="BE172" s="197" t="n">
        <f aca="false">Algae_yield_cost_factor/M172</f>
        <v>0.11113162051145</v>
      </c>
      <c r="BF172" s="197" t="n">
        <f aca="false">Algae_yield_cost_factor/N172</f>
        <v>0.108194682917729</v>
      </c>
      <c r="BG172" s="197" t="n">
        <f aca="false">Algae_yield_cost_factor/O172</f>
        <v>0.10400449495033</v>
      </c>
      <c r="BH172" s="197" t="n">
        <f aca="false">Algae_yield_cost_factor/P172</f>
        <v>0.0984435233410157</v>
      </c>
      <c r="BI172" s="197" t="n">
        <f aca="false">Algae_yield_cost_factor/Q172</f>
        <v>0.0917316849237783</v>
      </c>
      <c r="BJ172" s="197" t="n">
        <f aca="false">Algae_yield_cost_factor/R172</f>
        <v>0.0844999623520374</v>
      </c>
      <c r="BK172" s="197" t="n">
        <f aca="false">Algae_yield_cost_factor/S172</f>
        <v>0.0776014231012292</v>
      </c>
      <c r="BL172" s="197" t="n">
        <f aca="false">Algae_yield_cost_factor/T172</f>
        <v>0.0717442541783883</v>
      </c>
      <c r="BM172" s="197" t="n">
        <f aca="false">Algae_yield_cost_factor/U172</f>
        <v>0.0672433250317657</v>
      </c>
      <c r="BN172" s="197" t="n">
        <f aca="false">Algae_yield_cost_factor/V172</f>
        <v>0.0640425667154023</v>
      </c>
      <c r="BO172" s="197" t="n">
        <f aca="false">Algae_yield_cost_factor/W172</f>
        <v>0.0618897891828885</v>
      </c>
      <c r="BP172" s="197" t="n">
        <f aca="false">Algae_yield_cost_factor/X172</f>
        <v>0.0604956107929347</v>
      </c>
      <c r="BQ172" s="197" t="n">
        <f aca="false">Algae_yield_cost_factor/Y172</f>
        <v>0.0596147070950251</v>
      </c>
      <c r="BR172" s="197" t="n">
        <f aca="false">Algae_yield_cost_factor/Z172</f>
        <v>0.0590667565244107</v>
      </c>
      <c r="BS172" s="197" t="n">
        <f aca="false">Algae_yield_cost_factor/AA172</f>
        <v>0.0587292254155393</v>
      </c>
      <c r="BT172" s="197" t="n">
        <f aca="false">Algae_yield_cost_factor/AB172</f>
        <v>0.0585225593268819</v>
      </c>
      <c r="BU172" s="197" t="n">
        <f aca="false">Algae_yield_cost_factor/AC172</f>
        <v>0.0583964868163036</v>
      </c>
    </row>
    <row r="173" customFormat="false" ht="15" hidden="false" customHeight="false" outlineLevel="0" collapsed="false">
      <c r="A173" s="18" t="s">
        <v>716</v>
      </c>
      <c r="B173" s="18" t="s">
        <v>22</v>
      </c>
      <c r="C173" s="18" t="s">
        <v>683</v>
      </c>
      <c r="D173" s="18" t="s">
        <v>683</v>
      </c>
      <c r="E173" s="28" t="n">
        <v>7.00362</v>
      </c>
      <c r="F173" s="185" t="n">
        <f aca="false">E173/$B$2*$F$3/1000</f>
        <v>0.017158869</v>
      </c>
      <c r="G173" s="18" t="n">
        <f aca="false">LOOKUP(RIGHT(D173,5),Ref!$C$4:$C$21,Ref!$E$4:$E$21)*$G$3</f>
        <v>3</v>
      </c>
      <c r="H173" s="218" t="n">
        <f aca="false">$E173</f>
        <v>7.00362</v>
      </c>
      <c r="I173" s="177" t="n">
        <f aca="false">$E173</f>
        <v>7.00362</v>
      </c>
      <c r="J173" s="177" t="n">
        <f aca="false">$E173</f>
        <v>7.00362</v>
      </c>
      <c r="K173" s="177" t="n">
        <f aca="false">$E173</f>
        <v>7.00362</v>
      </c>
      <c r="L173" s="177" t="n">
        <f aca="false">$E173</f>
        <v>7.00362</v>
      </c>
      <c r="M173" s="177" t="n">
        <f aca="false">M$3*$E173</f>
        <v>7.33577279390387</v>
      </c>
      <c r="N173" s="177" t="n">
        <f aca="false">N$3*$E173</f>
        <v>7.53490186676038</v>
      </c>
      <c r="O173" s="177" t="n">
        <f aca="false">O$3*$E173</f>
        <v>7.83847196873254</v>
      </c>
      <c r="P173" s="177" t="n">
        <f aca="false">P$3*$E173</f>
        <v>8.28125904704067</v>
      </c>
      <c r="Q173" s="177" t="n">
        <f aca="false">Q$3*$E173</f>
        <v>8.88718351753533</v>
      </c>
      <c r="R173" s="177" t="n">
        <f aca="false">R$3*$E173</f>
        <v>9.64777137880807</v>
      </c>
      <c r="S173" s="177" t="n">
        <f aca="false">S$3*$E173</f>
        <v>10.50543</v>
      </c>
      <c r="T173" s="177" t="n">
        <f aca="false">T$3*$E173</f>
        <v>11.3630886211919</v>
      </c>
      <c r="U173" s="177" t="n">
        <f aca="false">U$3*$E173</f>
        <v>12.1236764824647</v>
      </c>
      <c r="V173" s="177" t="n">
        <f aca="false">V$3*$E173</f>
        <v>12.7296009529593</v>
      </c>
      <c r="W173" s="177" t="n">
        <f aca="false">W$3*$E173</f>
        <v>13.1723880312675</v>
      </c>
      <c r="X173" s="177" t="n">
        <f aca="false">X$3*$E173</f>
        <v>13.4759581332396</v>
      </c>
      <c r="Y173" s="177" t="n">
        <f aca="false">Y$3*$E173</f>
        <v>13.6750872060961</v>
      </c>
      <c r="Z173" s="177" t="n">
        <f aca="false">Z$3*$E173</f>
        <v>13.8019482744652</v>
      </c>
      <c r="AA173" s="177" t="n">
        <f aca="false">AA$3*$E173</f>
        <v>13.8812714201853</v>
      </c>
      <c r="AB173" s="177" t="n">
        <f aca="false">AB$3*$E173</f>
        <v>13.9302916288535</v>
      </c>
      <c r="AC173" s="177" t="n">
        <f aca="false">AC$3*$E173</f>
        <v>13.9603658154097</v>
      </c>
      <c r="AD173" s="219" t="n">
        <f aca="false">Algae_electricity_factor/H173</f>
        <v>0.00196235619629981</v>
      </c>
      <c r="AE173" s="220" t="n">
        <f aca="false">Algae_electricity_factor/I173</f>
        <v>0.00196235619629981</v>
      </c>
      <c r="AF173" s="220" t="n">
        <f aca="false">Algae_electricity_factor/J173</f>
        <v>0.00196235619629981</v>
      </c>
      <c r="AG173" s="220" t="n">
        <f aca="false">Algae_electricity_factor/K173</f>
        <v>0.00196235619629981</v>
      </c>
      <c r="AH173" s="220" t="n">
        <f aca="false">Algae_electricity_factor/L173</f>
        <v>0.00196235619629981</v>
      </c>
      <c r="AI173" s="220" t="n">
        <f aca="false">Algae_electricity_factor/M173</f>
        <v>0.00187350364980638</v>
      </c>
      <c r="AJ173" s="220" t="n">
        <f aca="false">Algae_electricity_factor/N173</f>
        <v>0.00182399151927353</v>
      </c>
      <c r="AK173" s="220" t="n">
        <f aca="false">Algae_electricity_factor/O173</f>
        <v>0.00175335156626854</v>
      </c>
      <c r="AL173" s="220" t="n">
        <f aca="false">Algae_electricity_factor/P173</f>
        <v>0.00165960236546888</v>
      </c>
      <c r="AM173" s="220" t="n">
        <f aca="false">Algae_electricity_factor/Q173</f>
        <v>0.00154645136745649</v>
      </c>
      <c r="AN173" s="220" t="n">
        <f aca="false">Algae_electricity_factor/R173</f>
        <v>0.00142453594347374</v>
      </c>
      <c r="AO173" s="220" t="n">
        <f aca="false">Algae_electricity_factor/S173</f>
        <v>0.00130823746419987</v>
      </c>
      <c r="AP173" s="220" t="n">
        <f aca="false">Algae_electricity_factor/T173</f>
        <v>0.00120949484437688</v>
      </c>
      <c r="AQ173" s="220" t="n">
        <f aca="false">Algae_electricity_factor/U173</f>
        <v>0.00113361628573705</v>
      </c>
      <c r="AR173" s="220" t="n">
        <f aca="false">Algae_electricity_factor/V173</f>
        <v>0.00107965655438195</v>
      </c>
      <c r="AS173" s="220" t="n">
        <f aca="false">Algae_electricity_factor/W173</f>
        <v>0.00104336412432627</v>
      </c>
      <c r="AT173" s="220" t="n">
        <f aca="false">Algae_electricity_factor/X173</f>
        <v>0.00101986047801896</v>
      </c>
      <c r="AU173" s="220" t="n">
        <f aca="false">Algae_electricity_factor/Y173</f>
        <v>0.001005009832581</v>
      </c>
      <c r="AV173" s="220" t="n">
        <f aca="false">Algae_electricity_factor/Z173</f>
        <v>0.000995772251150667</v>
      </c>
      <c r="AW173" s="220" t="n">
        <f aca="false">Algae_electricity_factor/AA173</f>
        <v>0.0009900820096021</v>
      </c>
      <c r="AX173" s="220" t="n">
        <f aca="false">Algae_electricity_factor/AB173</f>
        <v>0.00098659794566414</v>
      </c>
      <c r="AY173" s="220" t="n">
        <f aca="false">Algae_electricity_factor/AC173</f>
        <v>0.000984472562198826</v>
      </c>
      <c r="AZ173" s="221" t="n">
        <f aca="false">Algae_yield_cost_factor/H173</f>
        <v>0.108635622618905</v>
      </c>
      <c r="BA173" s="197" t="n">
        <f aca="false">Algae_yield_cost_factor/I173</f>
        <v>0.108635622618905</v>
      </c>
      <c r="BB173" s="197" t="n">
        <f aca="false">Algae_yield_cost_factor/J173</f>
        <v>0.108635622618905</v>
      </c>
      <c r="BC173" s="197" t="n">
        <f aca="false">Algae_yield_cost_factor/K173</f>
        <v>0.108635622618905</v>
      </c>
      <c r="BD173" s="197" t="n">
        <f aca="false">Algae_yield_cost_factor/L173</f>
        <v>0.108635622618905</v>
      </c>
      <c r="BE173" s="197" t="n">
        <f aca="false">Algae_yield_cost_factor/M173</f>
        <v>0.103716764499371</v>
      </c>
      <c r="BF173" s="197" t="n">
        <f aca="false">Algae_yield_cost_factor/N173</f>
        <v>0.100975783459452</v>
      </c>
      <c r="BG173" s="197" t="n">
        <f aca="false">Algae_yield_cost_factor/O173</f>
        <v>0.0970651706507593</v>
      </c>
      <c r="BH173" s="197" t="n">
        <f aca="false">Algae_yield_cost_factor/P173</f>
        <v>0.0918752347878921</v>
      </c>
      <c r="BI173" s="197" t="n">
        <f aca="false">Algae_yield_cost_factor/Q173</f>
        <v>0.0856112195483527</v>
      </c>
      <c r="BJ173" s="197" t="n">
        <f aca="false">Algae_yield_cost_factor/R173</f>
        <v>0.0788620075468886</v>
      </c>
      <c r="BK173" s="197" t="n">
        <f aca="false">Algae_yield_cost_factor/S173</f>
        <v>0.0724237484126036</v>
      </c>
      <c r="BL173" s="197" t="n">
        <f aca="false">Algae_yield_cost_factor/T173</f>
        <v>0.066957377932199</v>
      </c>
      <c r="BM173" s="197" t="n">
        <f aca="false">Algae_yield_cost_factor/U173</f>
        <v>0.0627567570271838</v>
      </c>
      <c r="BN173" s="197" t="n">
        <f aca="false">Algae_yield_cost_factor/V173</f>
        <v>0.0597695577495177</v>
      </c>
      <c r="BO173" s="197" t="n">
        <f aca="false">Algae_yield_cost_factor/W173</f>
        <v>0.0577604165228201</v>
      </c>
      <c r="BP173" s="197" t="n">
        <f aca="false">Algae_yield_cost_factor/X173</f>
        <v>0.0564592596506762</v>
      </c>
      <c r="BQ173" s="197" t="n">
        <f aca="false">Algae_yield_cost_factor/Y173</f>
        <v>0.0556371310705095</v>
      </c>
      <c r="BR173" s="197" t="n">
        <f aca="false">Algae_yield_cost_factor/Z173</f>
        <v>0.0551257405227234</v>
      </c>
      <c r="BS173" s="197" t="n">
        <f aca="false">Algae_yield_cost_factor/AA173</f>
        <v>0.0548107299580532</v>
      </c>
      <c r="BT173" s="197" t="n">
        <f aca="false">Algae_yield_cost_factor/AB173</f>
        <v>0.0546178529177595</v>
      </c>
      <c r="BU173" s="197" t="n">
        <f aca="false">Algae_yield_cost_factor/AC173</f>
        <v>0.054500192140122</v>
      </c>
    </row>
    <row r="174" customFormat="false" ht="15" hidden="false" customHeight="false" outlineLevel="0" collapsed="false">
      <c r="A174" s="18" t="s">
        <v>716</v>
      </c>
      <c r="B174" s="18" t="s">
        <v>22</v>
      </c>
      <c r="C174" s="18" t="s">
        <v>684</v>
      </c>
      <c r="D174" s="18" t="s">
        <v>684</v>
      </c>
      <c r="E174" s="28" t="n">
        <v>7.163125</v>
      </c>
      <c r="F174" s="185" t="n">
        <f aca="false">E174/$B$2*$F$3/1000</f>
        <v>0.01754965625</v>
      </c>
      <c r="G174" s="18" t="n">
        <f aca="false">LOOKUP(RIGHT(D174,5),Ref!$C$4:$C$21,Ref!$E$4:$E$21)*$G$3</f>
        <v>3.5</v>
      </c>
      <c r="H174" s="218" t="n">
        <f aca="false">$E174</f>
        <v>7.163125</v>
      </c>
      <c r="I174" s="177" t="n">
        <f aca="false">$E174</f>
        <v>7.163125</v>
      </c>
      <c r="J174" s="177" t="n">
        <f aca="false">$E174</f>
        <v>7.163125</v>
      </c>
      <c r="K174" s="177" t="n">
        <f aca="false">$E174</f>
        <v>7.163125</v>
      </c>
      <c r="L174" s="177" t="n">
        <f aca="false">$E174</f>
        <v>7.163125</v>
      </c>
      <c r="M174" s="177" t="n">
        <f aca="false">M$3*$E174</f>
        <v>7.50284245780506</v>
      </c>
      <c r="N174" s="177" t="n">
        <f aca="false">N$3*$E174</f>
        <v>7.70650662576467</v>
      </c>
      <c r="O174" s="177" t="n">
        <f aca="false">O$3*$E174</f>
        <v>8.01699043080968</v>
      </c>
      <c r="P174" s="177" t="n">
        <f aca="false">P$3*$E174</f>
        <v>8.46986183021541</v>
      </c>
      <c r="Q174" s="177" t="n">
        <f aca="false">Q$3*$E174</f>
        <v>9.08958601895095</v>
      </c>
      <c r="R174" s="177" t="n">
        <f aca="false">R$3*$E174</f>
        <v>9.86749600318472</v>
      </c>
      <c r="S174" s="177" t="n">
        <f aca="false">S$3*$E174</f>
        <v>10.7446875</v>
      </c>
      <c r="T174" s="177" t="n">
        <f aca="false">T$3*$E174</f>
        <v>11.6218789968153</v>
      </c>
      <c r="U174" s="177" t="n">
        <f aca="false">U$3*$E174</f>
        <v>12.3997889810491</v>
      </c>
      <c r="V174" s="177" t="n">
        <f aca="false">V$3*$E174</f>
        <v>13.0195131697846</v>
      </c>
      <c r="W174" s="177" t="n">
        <f aca="false">W$3*$E174</f>
        <v>13.4723845691903</v>
      </c>
      <c r="X174" s="177" t="n">
        <f aca="false">X$3*$E174</f>
        <v>13.7828683742353</v>
      </c>
      <c r="Y174" s="177" t="n">
        <f aca="false">Y$3*$E174</f>
        <v>13.9865325421949</v>
      </c>
      <c r="Z174" s="177" t="n">
        <f aca="false">Z$3*$E174</f>
        <v>14.1162828270992</v>
      </c>
      <c r="AA174" s="177" t="n">
        <f aca="false">AA$3*$E174</f>
        <v>14.1974125297653</v>
      </c>
      <c r="AB174" s="177" t="n">
        <f aca="false">AB$3*$E174</f>
        <v>14.2475491565692</v>
      </c>
      <c r="AC174" s="177" t="n">
        <f aca="false">AC$3*$E174</f>
        <v>14.278308272223</v>
      </c>
      <c r="AD174" s="219" t="n">
        <f aca="false">Algae_electricity_factor/H174</f>
        <v>0.00191865939845099</v>
      </c>
      <c r="AE174" s="220" t="n">
        <f aca="false">Algae_electricity_factor/I174</f>
        <v>0.00191865939845099</v>
      </c>
      <c r="AF174" s="220" t="n">
        <f aca="false">Algae_electricity_factor/J174</f>
        <v>0.00191865939845099</v>
      </c>
      <c r="AG174" s="220" t="n">
        <f aca="false">Algae_electricity_factor/K174</f>
        <v>0.00191865939845099</v>
      </c>
      <c r="AH174" s="220" t="n">
        <f aca="false">Algae_electricity_factor/L174</f>
        <v>0.00191865939845099</v>
      </c>
      <c r="AI174" s="220" t="n">
        <f aca="false">Algae_electricity_factor/M174</f>
        <v>0.00183178537745146</v>
      </c>
      <c r="AJ174" s="220" t="n">
        <f aca="false">Algae_electricity_factor/N174</f>
        <v>0.00178337575907366</v>
      </c>
      <c r="AK174" s="220" t="n">
        <f aca="false">Algae_electricity_factor/O174</f>
        <v>0.00171430878234705</v>
      </c>
      <c r="AL174" s="220" t="n">
        <f aca="false">Algae_electricity_factor/P174</f>
        <v>0.00162264714336901</v>
      </c>
      <c r="AM174" s="220" t="n">
        <f aca="false">Algae_electricity_factor/Q174</f>
        <v>0.00151201573700663</v>
      </c>
      <c r="AN174" s="220" t="n">
        <f aca="false">Algae_electricity_factor/R174</f>
        <v>0.00139281506666874</v>
      </c>
      <c r="AO174" s="220" t="n">
        <f aca="false">Algae_electricity_factor/S174</f>
        <v>0.00127910626563399</v>
      </c>
      <c r="AP174" s="220" t="n">
        <f aca="false">Algae_electricity_factor/T174</f>
        <v>0.00118256239867025</v>
      </c>
      <c r="AQ174" s="220" t="n">
        <f aca="false">Algae_electricity_factor/U174</f>
        <v>0.00110837346704319</v>
      </c>
      <c r="AR174" s="220" t="n">
        <f aca="false">Algae_electricity_factor/V174</f>
        <v>0.00105561528486527</v>
      </c>
      <c r="AS174" s="220" t="n">
        <f aca="false">Algae_electricity_factor/W174</f>
        <v>0.00102013099707376</v>
      </c>
      <c r="AT174" s="220" t="n">
        <f aca="false">Algae_electricity_factor/X174</f>
        <v>0.000997150718584857</v>
      </c>
      <c r="AU174" s="220" t="n">
        <f aca="false">Algae_electricity_factor/Y174</f>
        <v>0.000982630760130662</v>
      </c>
      <c r="AV174" s="220" t="n">
        <f aca="false">Algae_electricity_factor/Z174</f>
        <v>0.000973598876691923</v>
      </c>
      <c r="AW174" s="220" t="n">
        <f aca="false">Algae_electricity_factor/AA174</f>
        <v>0.000968035342687648</v>
      </c>
      <c r="AX174" s="220" t="n">
        <f aca="false">Algae_electricity_factor/AB174</f>
        <v>0.000964628860198906</v>
      </c>
      <c r="AY174" s="220" t="n">
        <f aca="false">Algae_electricity_factor/AC174</f>
        <v>0.00096255080374375</v>
      </c>
      <c r="AZ174" s="221" t="n">
        <f aca="false">Algae_yield_cost_factor/H174</f>
        <v>0.106216577162372</v>
      </c>
      <c r="BA174" s="197" t="n">
        <f aca="false">Algae_yield_cost_factor/I174</f>
        <v>0.106216577162372</v>
      </c>
      <c r="BB174" s="197" t="n">
        <f aca="false">Algae_yield_cost_factor/J174</f>
        <v>0.106216577162372</v>
      </c>
      <c r="BC174" s="197" t="n">
        <f aca="false">Algae_yield_cost_factor/K174</f>
        <v>0.106216577162372</v>
      </c>
      <c r="BD174" s="197" t="n">
        <f aca="false">Algae_yield_cost_factor/L174</f>
        <v>0.106216577162372</v>
      </c>
      <c r="BE174" s="197" t="n">
        <f aca="false">Algae_yield_cost_factor/M174</f>
        <v>0.10140724979434</v>
      </c>
      <c r="BF174" s="197" t="n">
        <f aca="false">Algae_yield_cost_factor/N174</f>
        <v>0.0987273035933741</v>
      </c>
      <c r="BG174" s="197" t="n">
        <f aca="false">Algae_yield_cost_factor/O174</f>
        <v>0.0949037704176698</v>
      </c>
      <c r="BH174" s="197" t="n">
        <f aca="false">Algae_yield_cost_factor/P174</f>
        <v>0.0898294015342713</v>
      </c>
      <c r="BI174" s="197" t="n">
        <f aca="false">Algae_yield_cost_factor/Q174</f>
        <v>0.0837048703538237</v>
      </c>
      <c r="BJ174" s="197" t="n">
        <f aca="false">Algae_yield_cost_factor/R174</f>
        <v>0.0771059465380738</v>
      </c>
      <c r="BK174" s="197" t="n">
        <f aca="false">Algae_yield_cost_factor/S174</f>
        <v>0.0708110514415815</v>
      </c>
      <c r="BL174" s="197" t="n">
        <f aca="false">Algae_yield_cost_factor/T174</f>
        <v>0.0654664034528934</v>
      </c>
      <c r="BM174" s="197" t="n">
        <f aca="false">Algae_yield_cost_factor/U174</f>
        <v>0.0613593199407696</v>
      </c>
      <c r="BN174" s="197" t="n">
        <f aca="false">Algae_yield_cost_factor/V174</f>
        <v>0.0584386381705857</v>
      </c>
      <c r="BO174" s="197" t="n">
        <f aca="false">Algae_yield_cost_factor/W174</f>
        <v>0.0564742355281463</v>
      </c>
      <c r="BP174" s="197" t="n">
        <f aca="false">Algae_yield_cost_factor/X174</f>
        <v>0.055202052187372</v>
      </c>
      <c r="BQ174" s="197" t="n">
        <f aca="false">Algae_yield_cost_factor/Y174</f>
        <v>0.0543982303684553</v>
      </c>
      <c r="BR174" s="197" t="n">
        <f aca="false">Algae_yield_cost_factor/Z174</f>
        <v>0.0538982272178352</v>
      </c>
      <c r="BS174" s="197" t="n">
        <f aca="false">Algae_yield_cost_factor/AA174</f>
        <v>0.0535902311559299</v>
      </c>
      <c r="BT174" s="197" t="n">
        <f aca="false">Algae_yield_cost_factor/AB174</f>
        <v>0.0534016490082022</v>
      </c>
      <c r="BU174" s="197" t="n">
        <f aca="false">Algae_yield_cost_factor/AC174</f>
        <v>0.0532866082438044</v>
      </c>
    </row>
    <row r="175" customFormat="false" ht="15" hidden="false" customHeight="false" outlineLevel="0" collapsed="false">
      <c r="A175" s="18" t="s">
        <v>716</v>
      </c>
      <c r="B175" s="18" t="s">
        <v>22</v>
      </c>
      <c r="C175" s="18" t="s">
        <v>685</v>
      </c>
      <c r="D175" s="18" t="s">
        <v>685</v>
      </c>
      <c r="E175" s="28" t="n">
        <v>7.18174</v>
      </c>
      <c r="F175" s="185" t="n">
        <f aca="false">E175/$B$2*$F$3/1000</f>
        <v>0.017595263</v>
      </c>
      <c r="G175" s="18" t="n">
        <f aca="false">LOOKUP(RIGHT(D175,5),Ref!$C$4:$C$21,Ref!$E$4:$E$21)*$G$3</f>
        <v>4</v>
      </c>
      <c r="H175" s="218" t="n">
        <f aca="false">$E175</f>
        <v>7.18174</v>
      </c>
      <c r="I175" s="177" t="n">
        <f aca="false">$E175</f>
        <v>7.18174</v>
      </c>
      <c r="J175" s="177" t="n">
        <f aca="false">$E175</f>
        <v>7.18174</v>
      </c>
      <c r="K175" s="177" t="n">
        <f aca="false">$E175</f>
        <v>7.18174</v>
      </c>
      <c r="L175" s="177" t="n">
        <f aca="false">$E175</f>
        <v>7.18174</v>
      </c>
      <c r="M175" s="177" t="n">
        <f aca="false">M$3*$E175</f>
        <v>7.52234029043426</v>
      </c>
      <c r="N175" s="177" t="n">
        <f aca="false">N$3*$E175</f>
        <v>7.72653372578577</v>
      </c>
      <c r="O175" s="177" t="n">
        <f aca="false">O$3*$E175</f>
        <v>8.03782439320312</v>
      </c>
      <c r="P175" s="177" t="n">
        <f aca="false">P$3*$E175</f>
        <v>8.49187268134106</v>
      </c>
      <c r="Q175" s="177" t="n">
        <f aca="false">Q$3*$E175</f>
        <v>9.11320736350975</v>
      </c>
      <c r="R175" s="177" t="n">
        <f aca="false">R$3*$E175</f>
        <v>9.89313892273439</v>
      </c>
      <c r="S175" s="177" t="n">
        <f aca="false">S$3*$E175</f>
        <v>10.77261</v>
      </c>
      <c r="T175" s="177" t="n">
        <f aca="false">T$3*$E175</f>
        <v>11.6520810772656</v>
      </c>
      <c r="U175" s="177" t="n">
        <f aca="false">U$3*$E175</f>
        <v>12.4320126364902</v>
      </c>
      <c r="V175" s="177" t="n">
        <f aca="false">V$3*$E175</f>
        <v>13.0533473186589</v>
      </c>
      <c r="W175" s="177" t="n">
        <f aca="false">W$3*$E175</f>
        <v>13.5073956067969</v>
      </c>
      <c r="X175" s="177" t="n">
        <f aca="false">X$3*$E175</f>
        <v>13.8186862742142</v>
      </c>
      <c r="Y175" s="177" t="n">
        <f aca="false">Y$3*$E175</f>
        <v>14.0228797095657</v>
      </c>
      <c r="Z175" s="177" t="n">
        <f aca="false">Z$3*$E175</f>
        <v>14.1529671799238</v>
      </c>
      <c r="AA175" s="177" t="n">
        <f aca="false">AA$3*$E175</f>
        <v>14.2343077164668</v>
      </c>
      <c r="AB175" s="177" t="n">
        <f aca="false">AB$3*$E175</f>
        <v>14.2845746346322</v>
      </c>
      <c r="AC175" s="177" t="n">
        <f aca="false">AC$3*$E175</f>
        <v>14.315413684803</v>
      </c>
      <c r="AD175" s="219" t="n">
        <f aca="false">Algae_electricity_factor/H175</f>
        <v>0.00191368625201264</v>
      </c>
      <c r="AE175" s="220" t="n">
        <f aca="false">Algae_electricity_factor/I175</f>
        <v>0.00191368625201264</v>
      </c>
      <c r="AF175" s="220" t="n">
        <f aca="false">Algae_electricity_factor/J175</f>
        <v>0.00191368625201264</v>
      </c>
      <c r="AG175" s="220" t="n">
        <f aca="false">Algae_electricity_factor/K175</f>
        <v>0.00191368625201264</v>
      </c>
      <c r="AH175" s="220" t="n">
        <f aca="false">Algae_electricity_factor/L175</f>
        <v>0.00191368625201264</v>
      </c>
      <c r="AI175" s="220" t="n">
        <f aca="false">Algae_electricity_factor/M175</f>
        <v>0.00182703740762781</v>
      </c>
      <c r="AJ175" s="220" t="n">
        <f aca="false">Algae_electricity_factor/N175</f>
        <v>0.00177875326650847</v>
      </c>
      <c r="AK175" s="220" t="n">
        <f aca="false">Algae_electricity_factor/O175</f>
        <v>0.00170986531071157</v>
      </c>
      <c r="AL175" s="220" t="n">
        <f aca="false">Algae_electricity_factor/P175</f>
        <v>0.00161844125780732</v>
      </c>
      <c r="AM175" s="220" t="n">
        <f aca="false">Algae_electricity_factor/Q175</f>
        <v>0.00150809660697068</v>
      </c>
      <c r="AN175" s="220" t="n">
        <f aca="false">Algae_electricity_factor/R175</f>
        <v>0.00138920490360714</v>
      </c>
      <c r="AO175" s="220" t="n">
        <f aca="false">Algae_electricity_factor/S175</f>
        <v>0.00127579083467509</v>
      </c>
      <c r="AP175" s="220" t="n">
        <f aca="false">Algae_electricity_factor/T175</f>
        <v>0.00117949720847243</v>
      </c>
      <c r="AQ175" s="220" t="n">
        <f aca="false">Algae_electricity_factor/U175</f>
        <v>0.00110550057383221</v>
      </c>
      <c r="AR175" s="220" t="n">
        <f aca="false">Algae_electricity_factor/V175</f>
        <v>0.00105287914034768</v>
      </c>
      <c r="AS175" s="220" t="n">
        <f aca="false">Algae_electricity_factor/W175</f>
        <v>0.00101748682748387</v>
      </c>
      <c r="AT175" s="220" t="n">
        <f aca="false">Algae_electricity_factor/X175</f>
        <v>0.000994566113652562</v>
      </c>
      <c r="AU175" s="220" t="n">
        <f aca="false">Algae_electricity_factor/Y175</f>
        <v>0.000980083790788994</v>
      </c>
      <c r="AV175" s="220" t="n">
        <f aca="false">Algae_electricity_factor/Z175</f>
        <v>0.000971075317903994</v>
      </c>
      <c r="AW175" s="220" t="n">
        <f aca="false">Algae_electricity_factor/AA175</f>
        <v>0.000965526204525569</v>
      </c>
      <c r="AX175" s="220" t="n">
        <f aca="false">Algae_electricity_factor/AB175</f>
        <v>0.000962128551606197</v>
      </c>
      <c r="AY175" s="220" t="n">
        <f aca="false">Algae_electricity_factor/AC175</f>
        <v>0.000960055881453094</v>
      </c>
      <c r="AZ175" s="221" t="n">
        <f aca="false">Algae_yield_cost_factor/H175</f>
        <v>0.105941264830837</v>
      </c>
      <c r="BA175" s="197" t="n">
        <f aca="false">Algae_yield_cost_factor/I175</f>
        <v>0.105941264830837</v>
      </c>
      <c r="BB175" s="197" t="n">
        <f aca="false">Algae_yield_cost_factor/J175</f>
        <v>0.105941264830837</v>
      </c>
      <c r="BC175" s="197" t="n">
        <f aca="false">Algae_yield_cost_factor/K175</f>
        <v>0.105941264830837</v>
      </c>
      <c r="BD175" s="197" t="n">
        <f aca="false">Algae_yield_cost_factor/L175</f>
        <v>0.105941264830837</v>
      </c>
      <c r="BE175" s="197" t="n">
        <f aca="false">Algae_yield_cost_factor/M175</f>
        <v>0.101144403192413</v>
      </c>
      <c r="BF175" s="197" t="n">
        <f aca="false">Algae_yield_cost_factor/N175</f>
        <v>0.0984714033858491</v>
      </c>
      <c r="BG175" s="197" t="n">
        <f aca="false">Algae_yield_cost_factor/O175</f>
        <v>0.0946577807708259</v>
      </c>
      <c r="BH175" s="197" t="n">
        <f aca="false">Algae_yield_cost_factor/P175</f>
        <v>0.089596564602057</v>
      </c>
      <c r="BI175" s="197" t="n">
        <f aca="false">Algae_yield_cost_factor/Q175</f>
        <v>0.0834879081466655</v>
      </c>
      <c r="BJ175" s="197" t="n">
        <f aca="false">Algae_yield_cost_factor/R175</f>
        <v>0.0769060886770532</v>
      </c>
      <c r="BK175" s="197" t="n">
        <f aca="false">Algae_yield_cost_factor/S175</f>
        <v>0.0706275098872249</v>
      </c>
      <c r="BL175" s="197" t="n">
        <f aca="false">Algae_yield_cost_factor/T175</f>
        <v>0.06529671517397</v>
      </c>
      <c r="BM175" s="197" t="n">
        <f aca="false">Algae_yield_cost_factor/U175</f>
        <v>0.0612002771822323</v>
      </c>
      <c r="BN175" s="197" t="n">
        <f aca="false">Algae_yield_cost_factor/V175</f>
        <v>0.0582871657906966</v>
      </c>
      <c r="BO175" s="197" t="n">
        <f aca="false">Algae_yield_cost_factor/W175</f>
        <v>0.0563278548607375</v>
      </c>
      <c r="BP175" s="197" t="n">
        <f aca="false">Algae_yield_cost_factor/X175</f>
        <v>0.0550589690067684</v>
      </c>
      <c r="BQ175" s="197" t="n">
        <f aca="false">Algae_yield_cost_factor/Y175</f>
        <v>0.0542572306861626</v>
      </c>
      <c r="BR175" s="197" t="n">
        <f aca="false">Algae_yield_cost_factor/Z175</f>
        <v>0.0537585235388299</v>
      </c>
      <c r="BS175" s="197" t="n">
        <f aca="false">Algae_yield_cost_factor/AA175</f>
        <v>0.0534513257997116</v>
      </c>
      <c r="BT175" s="197" t="n">
        <f aca="false">Algae_yield_cost_factor/AB175</f>
        <v>0.0532632324550706</v>
      </c>
      <c r="BU175" s="197" t="n">
        <f aca="false">Algae_yield_cost_factor/AC175</f>
        <v>0.0531484898752115</v>
      </c>
    </row>
    <row r="176" customFormat="false" ht="15" hidden="false" customHeight="false" outlineLevel="0" collapsed="false">
      <c r="A176" s="18" t="s">
        <v>716</v>
      </c>
      <c r="B176" s="18" t="s">
        <v>22</v>
      </c>
      <c r="C176" s="18" t="s">
        <v>686</v>
      </c>
      <c r="D176" s="18" t="s">
        <v>686</v>
      </c>
      <c r="E176" s="28" t="n">
        <v>6.927335</v>
      </c>
      <c r="F176" s="185" t="n">
        <f aca="false">E176/$B$2*$F$3/1000</f>
        <v>0.01697197075</v>
      </c>
      <c r="G176" s="18" t="n">
        <f aca="false">LOOKUP(RIGHT(D176,5),Ref!$C$4:$C$21,Ref!$E$4:$E$21)*$G$3</f>
        <v>4.5</v>
      </c>
      <c r="H176" s="218" t="n">
        <f aca="false">$E176</f>
        <v>6.927335</v>
      </c>
      <c r="I176" s="177" t="n">
        <f aca="false">$E176</f>
        <v>6.927335</v>
      </c>
      <c r="J176" s="177" t="n">
        <f aca="false">$E176</f>
        <v>6.927335</v>
      </c>
      <c r="K176" s="177" t="n">
        <f aca="false">$E176</f>
        <v>6.927335</v>
      </c>
      <c r="L176" s="177" t="n">
        <f aca="false">$E176</f>
        <v>6.927335</v>
      </c>
      <c r="M176" s="177" t="n">
        <f aca="false">M$3*$E176</f>
        <v>7.25586991116852</v>
      </c>
      <c r="N176" s="177" t="n">
        <f aca="false">N$3*$E176</f>
        <v>7.45283002549746</v>
      </c>
      <c r="O176" s="177" t="n">
        <f aca="false">O$3*$E176</f>
        <v>7.75309357382609</v>
      </c>
      <c r="P176" s="177" t="n">
        <f aca="false">P$3*$E176</f>
        <v>8.19105771595711</v>
      </c>
      <c r="Q176" s="177" t="n">
        <f aca="false">Q$3*$E176</f>
        <v>8.79038232120612</v>
      </c>
      <c r="R176" s="177" t="n">
        <f aca="false">R$3*$E176</f>
        <v>9.5426856888888</v>
      </c>
      <c r="S176" s="177" t="n">
        <f aca="false">S$3*$E176</f>
        <v>10.3910025</v>
      </c>
      <c r="T176" s="177" t="n">
        <f aca="false">T$3*$E176</f>
        <v>11.2393193111112</v>
      </c>
      <c r="U176" s="177" t="n">
        <f aca="false">U$3*$E176</f>
        <v>11.9916226787939</v>
      </c>
      <c r="V176" s="177" t="n">
        <f aca="false">V$3*$E176</f>
        <v>12.5909472840429</v>
      </c>
      <c r="W176" s="177" t="n">
        <f aca="false">W$3*$E176</f>
        <v>13.0289114261739</v>
      </c>
      <c r="X176" s="177" t="n">
        <f aca="false">X$3*$E176</f>
        <v>13.3291749745025</v>
      </c>
      <c r="Y176" s="177" t="n">
        <f aca="false">Y$3*$E176</f>
        <v>13.5261350888315</v>
      </c>
      <c r="Z176" s="177" t="n">
        <f aca="false">Z$3*$E176</f>
        <v>13.6516143579881</v>
      </c>
      <c r="AA176" s="177" t="n">
        <f aca="false">AA$3*$E176</f>
        <v>13.7300734982123</v>
      </c>
      <c r="AB176" s="177" t="n">
        <f aca="false">AB$3*$E176</f>
        <v>13.7785597677721</v>
      </c>
      <c r="AC176" s="177" t="n">
        <f aca="false">AC$3*$E176</f>
        <v>13.8083063795424</v>
      </c>
      <c r="AD176" s="219" t="n">
        <f aca="false">Algae_electricity_factor/H176</f>
        <v>0.00198396599897786</v>
      </c>
      <c r="AE176" s="220" t="n">
        <f aca="false">Algae_electricity_factor/I176</f>
        <v>0.00198396599897786</v>
      </c>
      <c r="AF176" s="220" t="n">
        <f aca="false">Algae_electricity_factor/J176</f>
        <v>0.00198396599897786</v>
      </c>
      <c r="AG176" s="220" t="n">
        <f aca="false">Algae_electricity_factor/K176</f>
        <v>0.00198396599897786</v>
      </c>
      <c r="AH176" s="220" t="n">
        <f aca="false">Algae_electricity_factor/L176</f>
        <v>0.00198396599897786</v>
      </c>
      <c r="AI176" s="220" t="n">
        <f aca="false">Algae_electricity_factor/M176</f>
        <v>0.0018941349930178</v>
      </c>
      <c r="AJ176" s="220" t="n">
        <f aca="false">Algae_electricity_factor/N176</f>
        <v>0.00184407762641976</v>
      </c>
      <c r="AK176" s="220" t="n">
        <f aca="false">Algae_electricity_factor/O176</f>
        <v>0.00177265977414831</v>
      </c>
      <c r="AL176" s="220" t="n">
        <f aca="false">Algae_electricity_factor/P176</f>
        <v>0.00167787819108577</v>
      </c>
      <c r="AM176" s="220" t="n">
        <f aca="false">Algae_electricity_factor/Q176</f>
        <v>0.00156348115489515</v>
      </c>
      <c r="AN176" s="220" t="n">
        <f aca="false">Algae_electricity_factor/R176</f>
        <v>0.00144022317737363</v>
      </c>
      <c r="AO176" s="220" t="n">
        <f aca="false">Algae_electricity_factor/S176</f>
        <v>0.00132264399931857</v>
      </c>
      <c r="AP176" s="220" t="n">
        <f aca="false">Algae_electricity_factor/T176</f>
        <v>0.00122281400884681</v>
      </c>
      <c r="AQ176" s="220" t="n">
        <f aca="false">Algae_electricity_factor/U176</f>
        <v>0.00114609986251765</v>
      </c>
      <c r="AR176" s="220" t="n">
        <f aca="false">Algae_electricity_factor/V176</f>
        <v>0.00109154591735502</v>
      </c>
      <c r="AS176" s="220" t="n">
        <f aca="false">Algae_electricity_factor/W176</f>
        <v>0.00105485382884096</v>
      </c>
      <c r="AT176" s="220" t="n">
        <f aca="false">Algae_electricity_factor/X176</f>
        <v>0.00103109135635322</v>
      </c>
      <c r="AU176" s="220" t="n">
        <f aca="false">Algae_electricity_factor/Y176</f>
        <v>0.00101607717306308</v>
      </c>
      <c r="AV176" s="220" t="n">
        <f aca="false">Algae_electricity_factor/Z176</f>
        <v>0.0010067378658032</v>
      </c>
      <c r="AW176" s="220" t="n">
        <f aca="false">Algae_electricity_factor/AA176</f>
        <v>0.0010009849623397</v>
      </c>
      <c r="AX176" s="220" t="n">
        <f aca="false">Algae_electricity_factor/AB176</f>
        <v>0.000997462531292667</v>
      </c>
      <c r="AY176" s="220" t="n">
        <f aca="false">Algae_electricity_factor/AC176</f>
        <v>0.000995313742740454</v>
      </c>
      <c r="AZ176" s="221" t="n">
        <f aca="false">Algae_yield_cost_factor/H176</f>
        <v>0.109831936709603</v>
      </c>
      <c r="BA176" s="197" t="n">
        <f aca="false">Algae_yield_cost_factor/I176</f>
        <v>0.109831936709603</v>
      </c>
      <c r="BB176" s="197" t="n">
        <f aca="false">Algae_yield_cost_factor/J176</f>
        <v>0.109831936709603</v>
      </c>
      <c r="BC176" s="197" t="n">
        <f aca="false">Algae_yield_cost_factor/K176</f>
        <v>0.109831936709603</v>
      </c>
      <c r="BD176" s="197" t="n">
        <f aca="false">Algae_yield_cost_factor/L176</f>
        <v>0.109831936709603</v>
      </c>
      <c r="BE176" s="197" t="n">
        <f aca="false">Algae_yield_cost_factor/M176</f>
        <v>0.104858911281623</v>
      </c>
      <c r="BF176" s="197" t="n">
        <f aca="false">Algae_yield_cost_factor/N176</f>
        <v>0.102087746088833</v>
      </c>
      <c r="BG176" s="197" t="n">
        <f aca="false">Algae_yield_cost_factor/O176</f>
        <v>0.0981340689418183</v>
      </c>
      <c r="BH176" s="197" t="n">
        <f aca="false">Algae_yield_cost_factor/P176</f>
        <v>0.0928869806159479</v>
      </c>
      <c r="BI176" s="197" t="n">
        <f aca="false">Algae_yield_cost_factor/Q176</f>
        <v>0.0865539849672686</v>
      </c>
      <c r="BJ176" s="197" t="n">
        <f aca="false">Algae_yield_cost_factor/R176</f>
        <v>0.0797304494867853</v>
      </c>
      <c r="BK176" s="197" t="n">
        <f aca="false">Algae_yield_cost_factor/S176</f>
        <v>0.0732212911397353</v>
      </c>
      <c r="BL176" s="197" t="n">
        <f aca="false">Algae_yield_cost_factor/T176</f>
        <v>0.0676947240509528</v>
      </c>
      <c r="BM176" s="197" t="n">
        <f aca="false">Algae_yield_cost_factor/U176</f>
        <v>0.0634478451887667</v>
      </c>
      <c r="BN176" s="197" t="n">
        <f aca="false">Algae_yield_cost_factor/V176</f>
        <v>0.0604277503608064</v>
      </c>
      <c r="BO176" s="197" t="n">
        <f aca="false">Algae_yield_cost_factor/W176</f>
        <v>0.0583964841266595</v>
      </c>
      <c r="BP176" s="197" t="n">
        <f aca="false">Algae_yield_cost_factor/X176</f>
        <v>0.05708099869209</v>
      </c>
      <c r="BQ176" s="197" t="n">
        <f aca="false">Algae_yield_cost_factor/Y176</f>
        <v>0.0562498166911289</v>
      </c>
      <c r="BR176" s="197" t="n">
        <f aca="false">Algae_yield_cost_factor/Z176</f>
        <v>0.0557327946230052</v>
      </c>
      <c r="BS176" s="197" t="n">
        <f aca="false">Algae_yield_cost_factor/AA176</f>
        <v>0.0554143151080207</v>
      </c>
      <c r="BT176" s="197" t="n">
        <f aca="false">Algae_yield_cost_factor/AB176</f>
        <v>0.0552193140727103</v>
      </c>
      <c r="BU176" s="197" t="n">
        <f aca="false">Algae_yield_cost_factor/AC176</f>
        <v>0.0551003575944286</v>
      </c>
    </row>
    <row r="177" customFormat="false" ht="15" hidden="false" customHeight="false" outlineLevel="0" collapsed="false">
      <c r="A177" s="18" t="s">
        <v>716</v>
      </c>
      <c r="B177" s="18" t="s">
        <v>22</v>
      </c>
      <c r="C177" s="18" t="s">
        <v>687</v>
      </c>
      <c r="D177" s="18" t="s">
        <v>687</v>
      </c>
      <c r="E177" s="28" t="n">
        <v>6.8158275</v>
      </c>
      <c r="F177" s="185" t="n">
        <f aca="false">E177/$B$2*$F$3/1000</f>
        <v>0.016698777375</v>
      </c>
      <c r="G177" s="18" t="n">
        <f aca="false">LOOKUP(RIGHT(D177,5),Ref!$C$4:$C$21,Ref!$E$4:$E$21)*$G$3</f>
        <v>4.5</v>
      </c>
      <c r="H177" s="218" t="n">
        <f aca="false">$E177</f>
        <v>6.8158275</v>
      </c>
      <c r="I177" s="177" t="n">
        <f aca="false">$E177</f>
        <v>6.8158275</v>
      </c>
      <c r="J177" s="177" t="n">
        <f aca="false">$E177</f>
        <v>6.8158275</v>
      </c>
      <c r="K177" s="177" t="n">
        <f aca="false">$E177</f>
        <v>6.8158275</v>
      </c>
      <c r="L177" s="177" t="n">
        <f aca="false">$E177</f>
        <v>6.8158275</v>
      </c>
      <c r="M177" s="177" t="n">
        <f aca="false">M$3*$E177</f>
        <v>7.13907407061517</v>
      </c>
      <c r="N177" s="177" t="n">
        <f aca="false">N$3*$E177</f>
        <v>7.33286376948874</v>
      </c>
      <c r="O177" s="177" t="n">
        <f aca="false">O$3*$E177</f>
        <v>7.6282940539987</v>
      </c>
      <c r="P177" s="177" t="n">
        <f aca="false">P$3*$E177</f>
        <v>8.05920840186127</v>
      </c>
      <c r="Q177" s="177" t="n">
        <f aca="false">Q$3*$E177</f>
        <v>8.6488858356627</v>
      </c>
      <c r="R177" s="177" t="n">
        <f aca="false">R$3*$E177</f>
        <v>9.38907957276279</v>
      </c>
      <c r="S177" s="177" t="n">
        <f aca="false">S$3*$E177</f>
        <v>10.22374125</v>
      </c>
      <c r="T177" s="177" t="n">
        <f aca="false">T$3*$E177</f>
        <v>11.0584029272372</v>
      </c>
      <c r="U177" s="177" t="n">
        <f aca="false">U$3*$E177</f>
        <v>11.7985966643373</v>
      </c>
      <c r="V177" s="177" t="n">
        <f aca="false">V$3*$E177</f>
        <v>12.3882740981387</v>
      </c>
      <c r="W177" s="177" t="n">
        <f aca="false">W$3*$E177</f>
        <v>12.8191884460013</v>
      </c>
      <c r="X177" s="177" t="n">
        <f aca="false">X$3*$E177</f>
        <v>13.1146187305113</v>
      </c>
      <c r="Y177" s="177" t="n">
        <f aca="false">Y$3*$E177</f>
        <v>13.3084084293848</v>
      </c>
      <c r="Z177" s="177" t="n">
        <f aca="false">Z$3*$E177</f>
        <v>13.4318678915586</v>
      </c>
      <c r="AA177" s="177" t="n">
        <f aca="false">AA$3*$E177</f>
        <v>13.5090640955196</v>
      </c>
      <c r="AB177" s="177" t="n">
        <f aca="false">AB$3*$E177</f>
        <v>13.5567698942775</v>
      </c>
      <c r="AC177" s="177" t="n">
        <f aca="false">AC$3*$E177</f>
        <v>13.5860376826169</v>
      </c>
      <c r="AD177" s="219" t="n">
        <f aca="false">Algae_electricity_factor/H177</f>
        <v>0.00201642384633843</v>
      </c>
      <c r="AE177" s="220" t="n">
        <f aca="false">Algae_electricity_factor/I177</f>
        <v>0.00201642384633843</v>
      </c>
      <c r="AF177" s="220" t="n">
        <f aca="false">Algae_electricity_factor/J177</f>
        <v>0.00201642384633843</v>
      </c>
      <c r="AG177" s="220" t="n">
        <f aca="false">Algae_electricity_factor/K177</f>
        <v>0.00201642384633843</v>
      </c>
      <c r="AH177" s="220" t="n">
        <f aca="false">Algae_electricity_factor/L177</f>
        <v>0.00201642384633843</v>
      </c>
      <c r="AI177" s="220" t="n">
        <f aca="false">Algae_electricity_factor/M177</f>
        <v>0.00192512319771253</v>
      </c>
      <c r="AJ177" s="220" t="n">
        <f aca="false">Algae_electricity_factor/N177</f>
        <v>0.00187424688846872</v>
      </c>
      <c r="AK177" s="220" t="n">
        <f aca="false">Algae_electricity_factor/O177</f>
        <v>0.00180166063424429</v>
      </c>
      <c r="AL177" s="220" t="n">
        <f aca="false">Algae_electricity_factor/P177</f>
        <v>0.00170532841666623</v>
      </c>
      <c r="AM177" s="220" t="n">
        <f aca="false">Algae_electricity_factor/Q177</f>
        <v>0.00158905983552923</v>
      </c>
      <c r="AN177" s="220" t="n">
        <f aca="false">Algae_electricity_factor/R177</f>
        <v>0.00146378534733039</v>
      </c>
      <c r="AO177" s="220" t="n">
        <f aca="false">Algae_electricity_factor/S177</f>
        <v>0.00134428256422562</v>
      </c>
      <c r="AP177" s="220" t="n">
        <f aca="false">Algae_electricity_factor/T177</f>
        <v>0.00124281934687678</v>
      </c>
      <c r="AQ177" s="220" t="n">
        <f aca="false">Algae_electricity_factor/U177</f>
        <v>0.00116485015078708</v>
      </c>
      <c r="AR177" s="220" t="n">
        <f aca="false">Algae_electricity_factor/V177</f>
        <v>0.00110940369858253</v>
      </c>
      <c r="AS177" s="220" t="n">
        <f aca="false">Algae_electricity_factor/W177</f>
        <v>0.00107211132447439</v>
      </c>
      <c r="AT177" s="220" t="n">
        <f aca="false">Algae_electricity_factor/X177</f>
        <v>0.00104796009597707</v>
      </c>
      <c r="AU177" s="220" t="n">
        <f aca="false">Algae_electricity_factor/Y177</f>
        <v>0.00103270027941009</v>
      </c>
      <c r="AV177" s="220" t="n">
        <f aca="false">Algae_electricity_factor/Z177</f>
        <v>0.00102320818031322</v>
      </c>
      <c r="AW177" s="220" t="n">
        <f aca="false">Algae_electricity_factor/AA177</f>
        <v>0.00101736115887461</v>
      </c>
      <c r="AX177" s="220" t="n">
        <f aca="false">Algae_electricity_factor/AB177</f>
        <v>0.00101378110056516</v>
      </c>
      <c r="AY177" s="220" t="n">
        <f aca="false">Algae_electricity_factor/AC177</f>
        <v>0.00101159715765502</v>
      </c>
      <c r="AZ177" s="221" t="n">
        <f aca="false">Algae_yield_cost_factor/H177</f>
        <v>0.111628796251991</v>
      </c>
      <c r="BA177" s="197" t="n">
        <f aca="false">Algae_yield_cost_factor/I177</f>
        <v>0.111628796251991</v>
      </c>
      <c r="BB177" s="197" t="n">
        <f aca="false">Algae_yield_cost_factor/J177</f>
        <v>0.111628796251991</v>
      </c>
      <c r="BC177" s="197" t="n">
        <f aca="false">Algae_yield_cost_factor/K177</f>
        <v>0.111628796251991</v>
      </c>
      <c r="BD177" s="197" t="n">
        <f aca="false">Algae_yield_cost_factor/L177</f>
        <v>0.111628796251991</v>
      </c>
      <c r="BE177" s="197" t="n">
        <f aca="false">Algae_yield_cost_factor/M177</f>
        <v>0.106574411717885</v>
      </c>
      <c r="BF177" s="197" t="n">
        <f aca="false">Algae_yield_cost_factor/N177</f>
        <v>0.103757910034004</v>
      </c>
      <c r="BG177" s="197" t="n">
        <f aca="false">Algae_yield_cost_factor/O177</f>
        <v>0.0997395504028045</v>
      </c>
      <c r="BH177" s="197" t="n">
        <f aca="false">Algae_yield_cost_factor/P177</f>
        <v>0.0944066192791964</v>
      </c>
      <c r="BI177" s="197" t="n">
        <f aca="false">Algae_yield_cost_factor/Q177</f>
        <v>0.0879700152994238</v>
      </c>
      <c r="BJ177" s="197" t="n">
        <f aca="false">Algae_yield_cost_factor/R177</f>
        <v>0.0810348462157442</v>
      </c>
      <c r="BK177" s="197" t="n">
        <f aca="false">Algae_yield_cost_factor/S177</f>
        <v>0.0744191975013274</v>
      </c>
      <c r="BL177" s="197" t="n">
        <f aca="false">Algae_yield_cost_factor/T177</f>
        <v>0.0688022153191974</v>
      </c>
      <c r="BM177" s="197" t="n">
        <f aca="false">Algae_yield_cost_factor/U177</f>
        <v>0.0644858571685866</v>
      </c>
      <c r="BN177" s="197" t="n">
        <f aca="false">Algae_yield_cost_factor/V177</f>
        <v>0.0614163533401743</v>
      </c>
      <c r="BO177" s="197" t="n">
        <f aca="false">Algae_yield_cost_factor/W177</f>
        <v>0.0593518554229186</v>
      </c>
      <c r="BP177" s="197" t="n">
        <f aca="false">Algae_yield_cost_factor/X177</f>
        <v>0.0580148485381517</v>
      </c>
      <c r="BQ177" s="197" t="n">
        <f aca="false">Algae_yield_cost_factor/Y177</f>
        <v>0.0571700683311075</v>
      </c>
      <c r="BR177" s="197" t="n">
        <f aca="false">Algae_yield_cost_factor/Z177</f>
        <v>0.0566445877393106</v>
      </c>
      <c r="BS177" s="197" t="n">
        <f aca="false">Algae_yield_cost_factor/AA177</f>
        <v>0.056320897873196</v>
      </c>
      <c r="BT177" s="197" t="n">
        <f aca="false">Algae_yield_cost_factor/AB177</f>
        <v>0.0561227066048662</v>
      </c>
      <c r="BU177" s="197" t="n">
        <f aca="false">Algae_yield_cost_factor/AC177</f>
        <v>0.0560018039887895</v>
      </c>
    </row>
    <row r="178" customFormat="false" ht="15" hidden="false" customHeight="false" outlineLevel="0" collapsed="false">
      <c r="A178" s="18" t="s">
        <v>716</v>
      </c>
      <c r="B178" s="18" t="s">
        <v>22</v>
      </c>
      <c r="C178" s="18" t="s">
        <v>688</v>
      </c>
      <c r="D178" s="18" t="s">
        <v>688</v>
      </c>
      <c r="E178" s="28" t="n">
        <v>6.514885</v>
      </c>
      <c r="F178" s="185" t="n">
        <f aca="false">E178/$B$2*$F$3/1000</f>
        <v>0.01596146825</v>
      </c>
      <c r="G178" s="18" t="n">
        <f aca="false">LOOKUP(RIGHT(D178,5),Ref!$C$4:$C$21,Ref!$E$4:$E$21)*$G$3</f>
        <v>4.5</v>
      </c>
      <c r="H178" s="218" t="n">
        <f aca="false">$E178</f>
        <v>6.514885</v>
      </c>
      <c r="I178" s="177" t="n">
        <f aca="false">$E178</f>
        <v>6.514885</v>
      </c>
      <c r="J178" s="177" t="n">
        <f aca="false">$E178</f>
        <v>6.514885</v>
      </c>
      <c r="K178" s="177" t="n">
        <f aca="false">$E178</f>
        <v>6.514885</v>
      </c>
      <c r="L178" s="177" t="n">
        <f aca="false">$E178</f>
        <v>6.514885</v>
      </c>
      <c r="M178" s="177" t="n">
        <f aca="false">M$3*$E178</f>
        <v>6.82385910977643</v>
      </c>
      <c r="N178" s="177" t="n">
        <f aca="false">N$3*$E178</f>
        <v>7.0090923191477</v>
      </c>
      <c r="O178" s="177" t="n">
        <f aca="false">O$3*$E178</f>
        <v>7.29147832863806</v>
      </c>
      <c r="P178" s="177" t="n">
        <f aca="false">P$3*$E178</f>
        <v>7.70336630866317</v>
      </c>
      <c r="Q178" s="177" t="n">
        <f aca="false">Q$3*$E178</f>
        <v>8.26700743196206</v>
      </c>
      <c r="R178" s="177" t="n">
        <f aca="false">R$3*$E178</f>
        <v>8.97451904004301</v>
      </c>
      <c r="S178" s="177" t="n">
        <f aca="false">S$3*$E178</f>
        <v>9.7723275</v>
      </c>
      <c r="T178" s="177" t="n">
        <f aca="false">T$3*$E178</f>
        <v>10.570135959957</v>
      </c>
      <c r="U178" s="177" t="n">
        <f aca="false">U$3*$E178</f>
        <v>11.2776475680379</v>
      </c>
      <c r="V178" s="177" t="n">
        <f aca="false">V$3*$E178</f>
        <v>11.8412886913368</v>
      </c>
      <c r="W178" s="177" t="n">
        <f aca="false">W$3*$E178</f>
        <v>12.2531766713619</v>
      </c>
      <c r="X178" s="177" t="n">
        <f aca="false">X$3*$E178</f>
        <v>12.5355626808523</v>
      </c>
      <c r="Y178" s="177" t="n">
        <f aca="false">Y$3*$E178</f>
        <v>12.7207958902236</v>
      </c>
      <c r="Z178" s="177" t="n">
        <f aca="false">Z$3*$E178</f>
        <v>12.8388041875615</v>
      </c>
      <c r="AA178" s="177" t="n">
        <f aca="false">AA$3*$E178</f>
        <v>12.9125919105111</v>
      </c>
      <c r="AB178" s="177" t="n">
        <f aca="false">AB$3*$E178</f>
        <v>12.9581913322601</v>
      </c>
      <c r="AC178" s="177" t="n">
        <f aca="false">AC$3*$E178</f>
        <v>12.9861668459061</v>
      </c>
      <c r="AD178" s="219" t="n">
        <f aca="false">Algae_electricity_factor/H178</f>
        <v>0.00210956864219848</v>
      </c>
      <c r="AE178" s="220" t="n">
        <f aca="false">Algae_electricity_factor/I178</f>
        <v>0.00210956864219848</v>
      </c>
      <c r="AF178" s="220" t="n">
        <f aca="false">Algae_electricity_factor/J178</f>
        <v>0.00210956864219848</v>
      </c>
      <c r="AG178" s="220" t="n">
        <f aca="false">Algae_electricity_factor/K178</f>
        <v>0.00210956864219848</v>
      </c>
      <c r="AH178" s="220" t="n">
        <f aca="false">Algae_electricity_factor/L178</f>
        <v>0.00210956864219848</v>
      </c>
      <c r="AI178" s="220" t="n">
        <f aca="false">Algae_electricity_factor/M178</f>
        <v>0.00201405053686396</v>
      </c>
      <c r="AJ178" s="220" t="n">
        <f aca="false">Algae_electricity_factor/N178</f>
        <v>0.00196082409500928</v>
      </c>
      <c r="AK178" s="220" t="n">
        <f aca="false">Algae_electricity_factor/O178</f>
        <v>0.00188488485929524</v>
      </c>
      <c r="AL178" s="220" t="n">
        <f aca="false">Algae_electricity_factor/P178</f>
        <v>0.00178410276142175</v>
      </c>
      <c r="AM178" s="220" t="n">
        <f aca="false">Algae_electricity_factor/Q178</f>
        <v>0.00166246337827078</v>
      </c>
      <c r="AN178" s="220" t="n">
        <f aca="false">Algae_electricity_factor/R178</f>
        <v>0.00153140207761634</v>
      </c>
      <c r="AO178" s="220" t="n">
        <f aca="false">Algae_electricity_factor/S178</f>
        <v>0.00140637909479899</v>
      </c>
      <c r="AP178" s="220" t="n">
        <f aca="false">Algae_electricity_factor/T178</f>
        <v>0.00130022898055374</v>
      </c>
      <c r="AQ178" s="220" t="n">
        <f aca="false">Algae_electricity_factor/U178</f>
        <v>0.00121865814839613</v>
      </c>
      <c r="AR178" s="220" t="n">
        <f aca="false">Algae_electricity_factor/V178</f>
        <v>0.00116065045467426</v>
      </c>
      <c r="AS178" s="220" t="n">
        <f aca="false">Algae_electricity_factor/W178</f>
        <v>0.00112163543154085</v>
      </c>
      <c r="AT178" s="220" t="n">
        <f aca="false">Algae_electricity_factor/X178</f>
        <v>0.00109636858379897</v>
      </c>
      <c r="AU178" s="220" t="n">
        <f aca="false">Algae_electricity_factor/Y178</f>
        <v>0.00108040386954811</v>
      </c>
      <c r="AV178" s="220" t="n">
        <f aca="false">Algae_electricity_factor/Z178</f>
        <v>0.00107047330130982</v>
      </c>
      <c r="AW178" s="220" t="n">
        <f aca="false">Algae_electricity_factor/AA178</f>
        <v>0.00106435618803547</v>
      </c>
      <c r="AX178" s="220" t="n">
        <f aca="false">Algae_electricity_factor/AB178</f>
        <v>0.00106061075586327</v>
      </c>
      <c r="AY178" s="220" t="n">
        <f aca="false">Algae_electricity_factor/AC178</f>
        <v>0.00105832592993843</v>
      </c>
      <c r="AZ178" s="221" t="n">
        <f aca="false">Algae_yield_cost_factor/H178</f>
        <v>0.116785272385655</v>
      </c>
      <c r="BA178" s="197" t="n">
        <f aca="false">Algae_yield_cost_factor/I178</f>
        <v>0.116785272385655</v>
      </c>
      <c r="BB178" s="197" t="n">
        <f aca="false">Algae_yield_cost_factor/J178</f>
        <v>0.116785272385655</v>
      </c>
      <c r="BC178" s="197" t="n">
        <f aca="false">Algae_yield_cost_factor/K178</f>
        <v>0.116785272385655</v>
      </c>
      <c r="BD178" s="197" t="n">
        <f aca="false">Algae_yield_cost_factor/L178</f>
        <v>0.116785272385655</v>
      </c>
      <c r="BE178" s="197" t="n">
        <f aca="false">Algae_yield_cost_factor/M178</f>
        <v>0.111497410343096</v>
      </c>
      <c r="BF178" s="197" t="n">
        <f aca="false">Algae_yield_cost_factor/N178</f>
        <v>0.108550805816571</v>
      </c>
      <c r="BG178" s="197" t="n">
        <f aca="false">Algae_yield_cost_factor/O178</f>
        <v>0.104346825841603</v>
      </c>
      <c r="BH178" s="197" t="n">
        <f aca="false">Algae_yield_cost_factor/P178</f>
        <v>0.098767550289096</v>
      </c>
      <c r="BI178" s="197" t="n">
        <f aca="false">Algae_yield_cost_factor/Q178</f>
        <v>0.0920336198495037</v>
      </c>
      <c r="BJ178" s="197" t="n">
        <f aca="false">Algae_yield_cost_factor/R178</f>
        <v>0.0847780940562328</v>
      </c>
      <c r="BK178" s="197" t="n">
        <f aca="false">Algae_yield_cost_factor/S178</f>
        <v>0.0778568482571033</v>
      </c>
      <c r="BL178" s="197" t="n">
        <f aca="false">Algae_yield_cost_factor/T178</f>
        <v>0.0719804004573384</v>
      </c>
      <c r="BM178" s="197" t="n">
        <f aca="false">Algae_yield_cost_factor/U178</f>
        <v>0.067464656498269</v>
      </c>
      <c r="BN178" s="197" t="n">
        <f aca="false">Algae_yield_cost_factor/V178</f>
        <v>0.0642533628829484</v>
      </c>
      <c r="BO178" s="197" t="n">
        <f aca="false">Algae_yield_cost_factor/W178</f>
        <v>0.0620934994811962</v>
      </c>
      <c r="BP178" s="197" t="n">
        <f aca="false">Algae_yield_cost_factor/X178</f>
        <v>0.060694732151783</v>
      </c>
      <c r="BQ178" s="197" t="n">
        <f aca="false">Algae_yield_cost_factor/Y178</f>
        <v>0.0598109289585375</v>
      </c>
      <c r="BR178" s="197" t="n">
        <f aca="false">Algae_yield_cost_factor/Z178</f>
        <v>0.0592611748081134</v>
      </c>
      <c r="BS178" s="197" t="n">
        <f aca="false">Algae_yield_cost_factor/AA178</f>
        <v>0.0589225327152851</v>
      </c>
      <c r="BT178" s="197" t="n">
        <f aca="false">Algae_yield_cost_factor/AB178</f>
        <v>0.0587151863850058</v>
      </c>
      <c r="BU178" s="197" t="n">
        <f aca="false">Algae_yield_cost_factor/AC178</f>
        <v>0.0585886989066425</v>
      </c>
    </row>
    <row r="179" customFormat="false" ht="15" hidden="false" customHeight="false" outlineLevel="0" collapsed="false">
      <c r="A179" s="18" t="s">
        <v>717</v>
      </c>
      <c r="B179" s="18" t="s">
        <v>22</v>
      </c>
      <c r="C179" s="18" t="s">
        <v>692</v>
      </c>
      <c r="D179" s="18" t="s">
        <v>692</v>
      </c>
      <c r="E179" s="28" t="n">
        <v>3.706867</v>
      </c>
      <c r="F179" s="185" t="n">
        <f aca="false">E179/$B$2*$F$3/1000</f>
        <v>0.00908182415</v>
      </c>
      <c r="G179" s="18" t="n">
        <f aca="false">LOOKUP(RIGHT(D179,5),Ref!$C$4:$C$21,Ref!$E$4:$E$21)*$G$3</f>
        <v>2.5</v>
      </c>
      <c r="H179" s="218" t="n">
        <f aca="false">$E179</f>
        <v>3.706867</v>
      </c>
      <c r="I179" s="177" t="n">
        <f aca="false">$E179</f>
        <v>3.706867</v>
      </c>
      <c r="J179" s="177" t="n">
        <f aca="false">$E179</f>
        <v>3.706867</v>
      </c>
      <c r="K179" s="177" t="n">
        <f aca="false">$E179</f>
        <v>3.706867</v>
      </c>
      <c r="L179" s="177" t="n">
        <f aca="false">$E179</f>
        <v>3.706867</v>
      </c>
      <c r="M179" s="177" t="n">
        <f aca="false">M$3*$E179</f>
        <v>3.88266840422811</v>
      </c>
      <c r="N179" s="177" t="n">
        <f aca="false">N$3*$E179</f>
        <v>3.98806318420081</v>
      </c>
      <c r="O179" s="177" t="n">
        <f aca="false">O$3*$E179</f>
        <v>4.14873637794736</v>
      </c>
      <c r="P179" s="177" t="n">
        <f aca="false">P$3*$E179</f>
        <v>4.3830941541555</v>
      </c>
      <c r="Q179" s="177" t="n">
        <f aca="false">Q$3*$E179</f>
        <v>4.70379707980953</v>
      </c>
      <c r="R179" s="177" t="n">
        <f aca="false">R$3*$E179</f>
        <v>5.10636004632578</v>
      </c>
      <c r="S179" s="177" t="n">
        <f aca="false">S$3*$E179</f>
        <v>5.5603005</v>
      </c>
      <c r="T179" s="177" t="n">
        <f aca="false">T$3*$E179</f>
        <v>6.01424095367423</v>
      </c>
      <c r="U179" s="177" t="n">
        <f aca="false">U$3*$E179</f>
        <v>6.41680392019047</v>
      </c>
      <c r="V179" s="177" t="n">
        <f aca="false">V$3*$E179</f>
        <v>6.7375068458445</v>
      </c>
      <c r="W179" s="177" t="n">
        <f aca="false">W$3*$E179</f>
        <v>6.97186462205264</v>
      </c>
      <c r="X179" s="177" t="n">
        <f aca="false">X$3*$E179</f>
        <v>7.13253781579919</v>
      </c>
      <c r="Y179" s="177" t="n">
        <f aca="false">Y$3*$E179</f>
        <v>7.23793259577189</v>
      </c>
      <c r="Z179" s="177" t="n">
        <f aca="false">Z$3*$E179</f>
        <v>7.30507745913141</v>
      </c>
      <c r="AA179" s="177" t="n">
        <f aca="false">AA$3*$E179</f>
        <v>7.34706151183645</v>
      </c>
      <c r="AB179" s="177" t="n">
        <f aca="false">AB$3*$E179</f>
        <v>7.37300686493176</v>
      </c>
      <c r="AC179" s="177" t="n">
        <f aca="false">AC$3*$E179</f>
        <v>7.38892449177285</v>
      </c>
      <c r="AD179" s="219" t="n">
        <f aca="false">Algae_electricity_factor/H179</f>
        <v>0.00370760458994867</v>
      </c>
      <c r="AE179" s="220" t="n">
        <f aca="false">Algae_electricity_factor/I179</f>
        <v>0.00370760458994867</v>
      </c>
      <c r="AF179" s="220" t="n">
        <f aca="false">Algae_electricity_factor/J179</f>
        <v>0.00370760458994867</v>
      </c>
      <c r="AG179" s="220" t="n">
        <f aca="false">Algae_electricity_factor/K179</f>
        <v>0.00370760458994867</v>
      </c>
      <c r="AH179" s="220" t="n">
        <f aca="false">Algae_electricity_factor/L179</f>
        <v>0.00370760458994867</v>
      </c>
      <c r="AI179" s="220" t="n">
        <f aca="false">Algae_electricity_factor/M179</f>
        <v>0.0035397298127656</v>
      </c>
      <c r="AJ179" s="220" t="n">
        <f aca="false">Algae_electricity_factor/N179</f>
        <v>0.00344618338996638</v>
      </c>
      <c r="AK179" s="220" t="n">
        <f aca="false">Algae_electricity_factor/O179</f>
        <v>0.00331271882604628</v>
      </c>
      <c r="AL179" s="220" t="n">
        <f aca="false">Algae_electricity_factor/P179</f>
        <v>0.0031355924879002</v>
      </c>
      <c r="AM179" s="220" t="n">
        <f aca="false">Algae_electricity_factor/Q179</f>
        <v>0.00292180909812669</v>
      </c>
      <c r="AN179" s="220" t="n">
        <f aca="false">Algae_electricity_factor/R179</f>
        <v>0.00269146651995648</v>
      </c>
      <c r="AO179" s="220" t="n">
        <f aca="false">Algae_electricity_factor/S179</f>
        <v>0.00247173639329911</v>
      </c>
      <c r="AP179" s="220" t="n">
        <f aca="false">Algae_electricity_factor/T179</f>
        <v>0.00228517567044483</v>
      </c>
      <c r="AQ179" s="220" t="n">
        <f aca="false">Algae_electricity_factor/U179</f>
        <v>0.00214181347512974</v>
      </c>
      <c r="AR179" s="220" t="n">
        <f aca="false">Algae_electricity_factor/V179</f>
        <v>0.0020398639167255</v>
      </c>
      <c r="AS179" s="220" t="n">
        <f aca="false">Algae_electricity_factor/W179</f>
        <v>0.00197129431630916</v>
      </c>
      <c r="AT179" s="220" t="n">
        <f aca="false">Algae_electricity_factor/X179</f>
        <v>0.0019268873798448</v>
      </c>
      <c r="AU179" s="220" t="n">
        <f aca="false">Algae_electricity_factor/Y179</f>
        <v>0.00189882910923455</v>
      </c>
      <c r="AV179" s="220" t="n">
        <f aca="false">Algae_electricity_factor/Z179</f>
        <v>0.001881375958081</v>
      </c>
      <c r="AW179" s="220" t="n">
        <f aca="false">Algae_electricity_factor/AA179</f>
        <v>0.00187062502217896</v>
      </c>
      <c r="AX179" s="220" t="n">
        <f aca="false">Algae_electricity_factor/AB179</f>
        <v>0.0018640423581996</v>
      </c>
      <c r="AY179" s="220" t="n">
        <f aca="false">Algae_electricity_factor/AC179</f>
        <v>0.00186002673580329</v>
      </c>
      <c r="AZ179" s="221" t="n">
        <f aca="false">Algae_yield_cost_factor/H179</f>
        <v>0.205252203352917</v>
      </c>
      <c r="BA179" s="197" t="n">
        <f aca="false">Algae_yield_cost_factor/I179</f>
        <v>0.205252203352917</v>
      </c>
      <c r="BB179" s="197" t="n">
        <f aca="false">Algae_yield_cost_factor/J179</f>
        <v>0.205252203352917</v>
      </c>
      <c r="BC179" s="197" t="n">
        <f aca="false">Algae_yield_cost_factor/K179</f>
        <v>0.205252203352917</v>
      </c>
      <c r="BD179" s="197" t="n">
        <f aca="false">Algae_yield_cost_factor/L179</f>
        <v>0.205252203352917</v>
      </c>
      <c r="BE179" s="197" t="n">
        <f aca="false">Algae_yield_cost_factor/M179</f>
        <v>0.195958691310771</v>
      </c>
      <c r="BF179" s="197" t="n">
        <f aca="false">Algae_yield_cost_factor/N179</f>
        <v>0.190779981194979</v>
      </c>
      <c r="BG179" s="197" t="n">
        <f aca="false">Algae_yield_cost_factor/O179</f>
        <v>0.183391411257288</v>
      </c>
      <c r="BH179" s="197" t="n">
        <f aca="false">Algae_yield_cost_factor/P179</f>
        <v>0.173585734763394</v>
      </c>
      <c r="BI179" s="197" t="n">
        <f aca="false">Algae_yield_cost_factor/Q179</f>
        <v>0.161750731669961</v>
      </c>
      <c r="BJ179" s="197" t="n">
        <f aca="false">Algae_yield_cost_factor/R179</f>
        <v>0.148999015420715</v>
      </c>
      <c r="BK179" s="197" t="n">
        <f aca="false">Algae_yield_cost_factor/S179</f>
        <v>0.136834802235278</v>
      </c>
      <c r="BL179" s="197" t="n">
        <f aca="false">Algae_yield_cost_factor/T179</f>
        <v>0.126506840205895</v>
      </c>
      <c r="BM179" s="197" t="n">
        <f aca="false">Algae_yield_cost_factor/U179</f>
        <v>0.118570339494437</v>
      </c>
      <c r="BN179" s="197" t="n">
        <f aca="false">Algae_yield_cost_factor/V179</f>
        <v>0.112926433574681</v>
      </c>
      <c r="BO179" s="197" t="n">
        <f aca="false">Algae_yield_cost_factor/W179</f>
        <v>0.109130435045971</v>
      </c>
      <c r="BP179" s="197" t="n">
        <f aca="false">Algae_yield_cost_factor/X179</f>
        <v>0.106672076466372</v>
      </c>
      <c r="BQ179" s="197" t="n">
        <f aca="false">Algae_yield_cost_factor/Y179</f>
        <v>0.1051187765593</v>
      </c>
      <c r="BR179" s="197" t="n">
        <f aca="false">Algae_yield_cost_factor/Z179</f>
        <v>0.104152573814965</v>
      </c>
      <c r="BS179" s="197" t="n">
        <f aca="false">Algae_yield_cost_factor/AA179</f>
        <v>0.103557404284756</v>
      </c>
      <c r="BT179" s="197" t="n">
        <f aca="false">Algae_yield_cost_factor/AB179</f>
        <v>0.103192989403687</v>
      </c>
      <c r="BU179" s="197" t="n">
        <f aca="false">Algae_yield_cost_factor/AC179</f>
        <v>0.102970685399935</v>
      </c>
    </row>
    <row r="180" customFormat="false" ht="15" hidden="false" customHeight="false" outlineLevel="0" collapsed="false">
      <c r="A180" s="18" t="s">
        <v>717</v>
      </c>
      <c r="B180" s="18" t="s">
        <v>22</v>
      </c>
      <c r="C180" s="18" t="s">
        <v>693</v>
      </c>
      <c r="D180" s="18" t="s">
        <v>693</v>
      </c>
      <c r="E180" s="28" t="n">
        <v>6.49917175</v>
      </c>
      <c r="F180" s="185" t="n">
        <f aca="false">E180/$B$2*$F$3/1000</f>
        <v>0.0159229707875</v>
      </c>
      <c r="G180" s="18" t="n">
        <f aca="false">LOOKUP(RIGHT(D180,5),Ref!$C$4:$C$21,Ref!$E$4:$E$21)*$G$3</f>
        <v>3</v>
      </c>
      <c r="H180" s="218" t="n">
        <f aca="false">$E180</f>
        <v>6.49917175</v>
      </c>
      <c r="I180" s="177" t="n">
        <f aca="false">$E180</f>
        <v>6.49917175</v>
      </c>
      <c r="J180" s="177" t="n">
        <f aca="false">$E180</f>
        <v>6.49917175</v>
      </c>
      <c r="K180" s="177" t="n">
        <f aca="false">$E180</f>
        <v>6.49917175</v>
      </c>
      <c r="L180" s="177" t="n">
        <f aca="false">$E180</f>
        <v>6.49917175</v>
      </c>
      <c r="M180" s="177" t="n">
        <f aca="false">M$3*$E180</f>
        <v>6.80740064517472</v>
      </c>
      <c r="N180" s="177" t="n">
        <f aca="false">N$3*$E180</f>
        <v>6.99218709060048</v>
      </c>
      <c r="O180" s="177" t="n">
        <f aca="false">O$3*$E180</f>
        <v>7.2738920133236</v>
      </c>
      <c r="P180" s="177" t="n">
        <f aca="false">P$3*$E180</f>
        <v>7.68478656080122</v>
      </c>
      <c r="Q180" s="177" t="n">
        <f aca="false">Q$3*$E180</f>
        <v>8.24706823817272</v>
      </c>
      <c r="R180" s="177" t="n">
        <f aca="false">R$3*$E180</f>
        <v>8.95287339912901</v>
      </c>
      <c r="S180" s="177" t="n">
        <f aca="false">S$3*$E180</f>
        <v>9.748757625</v>
      </c>
      <c r="T180" s="177" t="n">
        <f aca="false">T$3*$E180</f>
        <v>10.544641850871</v>
      </c>
      <c r="U180" s="177" t="n">
        <f aca="false">U$3*$E180</f>
        <v>11.2504470118273</v>
      </c>
      <c r="V180" s="177" t="n">
        <f aca="false">V$3*$E180</f>
        <v>11.8127286891988</v>
      </c>
      <c r="W180" s="177" t="n">
        <f aca="false">W$3*$E180</f>
        <v>12.2236232366764</v>
      </c>
      <c r="X180" s="177" t="n">
        <f aca="false">X$3*$E180</f>
        <v>12.5053281593995</v>
      </c>
      <c r="Y180" s="177" t="n">
        <f aca="false">Y$3*$E180</f>
        <v>12.6901146048253</v>
      </c>
      <c r="Z180" s="177" t="n">
        <f aca="false">Z$3*$E180</f>
        <v>12.8078382779713</v>
      </c>
      <c r="AA180" s="177" t="n">
        <f aca="false">AA$3*$E180</f>
        <v>12.8814480323248</v>
      </c>
      <c r="AB180" s="177" t="n">
        <f aca="false">AB$3*$E180</f>
        <v>12.9269374728364</v>
      </c>
      <c r="AC180" s="177" t="n">
        <f aca="false">AC$3*$E180</f>
        <v>12.9548455123459</v>
      </c>
      <c r="AD180" s="219" t="n">
        <f aca="false">Algae_electricity_factor/H180</f>
        <v>0.0021146690120213</v>
      </c>
      <c r="AE180" s="220" t="n">
        <f aca="false">Algae_electricity_factor/I180</f>
        <v>0.0021146690120213</v>
      </c>
      <c r="AF180" s="220" t="n">
        <f aca="false">Algae_electricity_factor/J180</f>
        <v>0.0021146690120213</v>
      </c>
      <c r="AG180" s="220" t="n">
        <f aca="false">Algae_electricity_factor/K180</f>
        <v>0.0021146690120213</v>
      </c>
      <c r="AH180" s="220" t="n">
        <f aca="false">Algae_electricity_factor/L180</f>
        <v>0.0021146690120213</v>
      </c>
      <c r="AI180" s="220" t="n">
        <f aca="false">Algae_electricity_factor/M180</f>
        <v>0.00201891996958797</v>
      </c>
      <c r="AJ180" s="220" t="n">
        <f aca="false">Algae_electricity_factor/N180</f>
        <v>0.00196556484050672</v>
      </c>
      <c r="AK180" s="220" t="n">
        <f aca="false">Algae_electricity_factor/O180</f>
        <v>0.00188944200413686</v>
      </c>
      <c r="AL180" s="220" t="n">
        <f aca="false">Algae_electricity_factor/P180</f>
        <v>0.00178841624224581</v>
      </c>
      <c r="AM180" s="220" t="n">
        <f aca="false">Algae_electricity_factor/Q180</f>
        <v>0.00166648276776892</v>
      </c>
      <c r="AN180" s="220" t="n">
        <f aca="false">Algae_electricity_factor/R180</f>
        <v>0.00153510459612512</v>
      </c>
      <c r="AO180" s="220" t="n">
        <f aca="false">Algae_electricity_factor/S180</f>
        <v>0.00140977934134754</v>
      </c>
      <c r="AP180" s="220" t="n">
        <f aca="false">Algae_electricity_factor/T180</f>
        <v>0.00130337258466432</v>
      </c>
      <c r="AQ180" s="220" t="n">
        <f aca="false">Algae_electricity_factor/U180</f>
        <v>0.00122160453616474</v>
      </c>
      <c r="AR180" s="220" t="n">
        <f aca="false">Algae_electricity_factor/V180</f>
        <v>0.00116345659543472</v>
      </c>
      <c r="AS180" s="220" t="n">
        <f aca="false">Algae_electricity_factor/W180</f>
        <v>0.00112434724446449</v>
      </c>
      <c r="AT180" s="220" t="n">
        <f aca="false">Algae_electricity_factor/X180</f>
        <v>0.00109901930827773</v>
      </c>
      <c r="AU180" s="220" t="n">
        <f aca="false">Algae_electricity_factor/Y180</f>
        <v>0.0010830159956399</v>
      </c>
      <c r="AV180" s="220" t="n">
        <f aca="false">Algae_electricity_factor/Z180</f>
        <v>0.00107306141795742</v>
      </c>
      <c r="AW180" s="220" t="n">
        <f aca="false">Algae_electricity_factor/AA180</f>
        <v>0.00106692951514775</v>
      </c>
      <c r="AX180" s="220" t="n">
        <f aca="false">Algae_electricity_factor/AB180</f>
        <v>0.00106317502752751</v>
      </c>
      <c r="AY180" s="220" t="n">
        <f aca="false">Algae_electricity_factor/AC180</f>
        <v>0.00106088467750786</v>
      </c>
      <c r="AZ180" s="221" t="n">
        <f aca="false">Algae_yield_cost_factor/H180</f>
        <v>0.117067627776758</v>
      </c>
      <c r="BA180" s="197" t="n">
        <f aca="false">Algae_yield_cost_factor/I180</f>
        <v>0.117067627776758</v>
      </c>
      <c r="BB180" s="197" t="n">
        <f aca="false">Algae_yield_cost_factor/J180</f>
        <v>0.117067627776758</v>
      </c>
      <c r="BC180" s="197" t="n">
        <f aca="false">Algae_yield_cost_factor/K180</f>
        <v>0.117067627776758</v>
      </c>
      <c r="BD180" s="197" t="n">
        <f aca="false">Algae_yield_cost_factor/L180</f>
        <v>0.117067627776758</v>
      </c>
      <c r="BE180" s="197" t="n">
        <f aca="false">Algae_yield_cost_factor/M180</f>
        <v>0.111766981105413</v>
      </c>
      <c r="BF180" s="197" t="n">
        <f aca="false">Algae_yield_cost_factor/N180</f>
        <v>0.108813252481332</v>
      </c>
      <c r="BG180" s="197" t="n">
        <f aca="false">Algae_yield_cost_factor/O180</f>
        <v>0.104599108413018</v>
      </c>
      <c r="BH180" s="197" t="n">
        <f aca="false">Algae_yield_cost_factor/P180</f>
        <v>0.0990063436722036</v>
      </c>
      <c r="BI180" s="197" t="n">
        <f aca="false">Algae_yield_cost_factor/Q180</f>
        <v>0.0922561323992144</v>
      </c>
      <c r="BJ180" s="197" t="n">
        <f aca="false">Algae_yield_cost_factor/R180</f>
        <v>0.0849830646952113</v>
      </c>
      <c r="BK180" s="197" t="n">
        <f aca="false">Algae_yield_cost_factor/S180</f>
        <v>0.078045085184505</v>
      </c>
      <c r="BL180" s="197" t="n">
        <f aca="false">Algae_yield_cost_factor/T180</f>
        <v>0.0721544297138335</v>
      </c>
      <c r="BM180" s="197" t="n">
        <f aca="false">Algae_yield_cost_factor/U180</f>
        <v>0.0676277678999212</v>
      </c>
      <c r="BN180" s="197" t="n">
        <f aca="false">Algae_yield_cost_factor/V180</f>
        <v>0.0644087102399897</v>
      </c>
      <c r="BO180" s="197" t="n">
        <f aca="false">Algae_yield_cost_factor/W180</f>
        <v>0.0622436248692078</v>
      </c>
      <c r="BP180" s="197" t="n">
        <f aca="false">Algae_yield_cost_factor/X180</f>
        <v>0.0608414756964484</v>
      </c>
      <c r="BQ180" s="197" t="n">
        <f aca="false">Algae_yield_cost_factor/Y180</f>
        <v>0.0599555357046906</v>
      </c>
      <c r="BR180" s="197" t="n">
        <f aca="false">Algae_yield_cost_factor/Z180</f>
        <v>0.0594044523965313</v>
      </c>
      <c r="BS180" s="197" t="n">
        <f aca="false">Algae_yield_cost_factor/AA180</f>
        <v>0.0590649915581659</v>
      </c>
      <c r="BT180" s="197" t="n">
        <f aca="false">Algae_yield_cost_factor/AB180</f>
        <v>0.0588571439202047</v>
      </c>
      <c r="BU180" s="197" t="n">
        <f aca="false">Algae_yield_cost_factor/AC180</f>
        <v>0.0587303506291246</v>
      </c>
    </row>
    <row r="181" customFormat="false" ht="15" hidden="false" customHeight="false" outlineLevel="0" collapsed="false">
      <c r="A181" s="18" t="s">
        <v>717</v>
      </c>
      <c r="B181" s="18" t="s">
        <v>22</v>
      </c>
      <c r="C181" s="18" t="s">
        <v>694</v>
      </c>
      <c r="D181" s="18" t="s">
        <v>694</v>
      </c>
      <c r="E181" s="28" t="n">
        <v>5.364405</v>
      </c>
      <c r="F181" s="185" t="n">
        <f aca="false">E181/$B$2*$F$3/1000</f>
        <v>0.01314279225</v>
      </c>
      <c r="G181" s="18" t="n">
        <f aca="false">LOOKUP(RIGHT(D181,5),Ref!$C$4:$C$21,Ref!$E$4:$E$21)*$G$3</f>
        <v>3</v>
      </c>
      <c r="H181" s="218" t="n">
        <f aca="false">$E181</f>
        <v>5.364405</v>
      </c>
      <c r="I181" s="177" t="n">
        <f aca="false">$E181</f>
        <v>5.364405</v>
      </c>
      <c r="J181" s="177" t="n">
        <f aca="false">$E181</f>
        <v>5.364405</v>
      </c>
      <c r="K181" s="177" t="n">
        <f aca="false">$E181</f>
        <v>5.364405</v>
      </c>
      <c r="L181" s="177" t="n">
        <f aca="false">$E181</f>
        <v>5.364405</v>
      </c>
      <c r="M181" s="177" t="n">
        <f aca="false">M$3*$E181</f>
        <v>5.61881659120311</v>
      </c>
      <c r="N181" s="177" t="n">
        <f aca="false">N$3*$E181</f>
        <v>5.77133900019686</v>
      </c>
      <c r="O181" s="177" t="n">
        <f aca="false">O$3*$E181</f>
        <v>6.00385775091006</v>
      </c>
      <c r="P181" s="177" t="n">
        <f aca="false">P$3*$E181</f>
        <v>6.34300939203444</v>
      </c>
      <c r="Q181" s="177" t="n">
        <f aca="false">Q$3*$E181</f>
        <v>6.80711570550431</v>
      </c>
      <c r="R181" s="177" t="n">
        <f aca="false">R$3*$E181</f>
        <v>7.38968605140412</v>
      </c>
      <c r="S181" s="177" t="n">
        <f aca="false">S$3*$E181</f>
        <v>8.0466075</v>
      </c>
      <c r="T181" s="177" t="n">
        <f aca="false">T$3*$E181</f>
        <v>8.70352894859588</v>
      </c>
      <c r="U181" s="177" t="n">
        <f aca="false">U$3*$E181</f>
        <v>9.28609929449569</v>
      </c>
      <c r="V181" s="177" t="n">
        <f aca="false">V$3*$E181</f>
        <v>9.75020560796556</v>
      </c>
      <c r="W181" s="177" t="n">
        <f aca="false">W$3*$E181</f>
        <v>10.0893572490899</v>
      </c>
      <c r="X181" s="177" t="n">
        <f aca="false">X$3*$E181</f>
        <v>10.3218759998031</v>
      </c>
      <c r="Y181" s="177" t="n">
        <f aca="false">Y$3*$E181</f>
        <v>10.4743984087969</v>
      </c>
      <c r="Z181" s="177" t="n">
        <f aca="false">Z$3*$E181</f>
        <v>10.5715673227963</v>
      </c>
      <c r="AA181" s="177" t="n">
        <f aca="false">AA$3*$E181</f>
        <v>10.6323246853483</v>
      </c>
      <c r="AB181" s="177" t="n">
        <f aca="false">AB$3*$E181</f>
        <v>10.6698715900177</v>
      </c>
      <c r="AC181" s="177" t="n">
        <f aca="false">AC$3*$E181</f>
        <v>10.6929068370375</v>
      </c>
      <c r="AD181" s="219" t="n">
        <f aca="false">Algae_electricity_factor/H181</f>
        <v>0.00256199841427507</v>
      </c>
      <c r="AE181" s="220" t="n">
        <f aca="false">Algae_electricity_factor/I181</f>
        <v>0.00256199841427507</v>
      </c>
      <c r="AF181" s="220" t="n">
        <f aca="false">Algae_electricity_factor/J181</f>
        <v>0.00256199841427507</v>
      </c>
      <c r="AG181" s="220" t="n">
        <f aca="false">Algae_electricity_factor/K181</f>
        <v>0.00256199841427507</v>
      </c>
      <c r="AH181" s="220" t="n">
        <f aca="false">Algae_electricity_factor/L181</f>
        <v>0.00256199841427507</v>
      </c>
      <c r="AI181" s="220" t="n">
        <f aca="false">Algae_electricity_factor/M181</f>
        <v>0.00244599496716914</v>
      </c>
      <c r="AJ181" s="220" t="n">
        <f aca="false">Algae_electricity_factor/N181</f>
        <v>0.00238135328786967</v>
      </c>
      <c r="AK181" s="220" t="n">
        <f aca="false">Algae_electricity_factor/O181</f>
        <v>0.00228912770317485</v>
      </c>
      <c r="AL181" s="220" t="n">
        <f aca="false">Algae_electricity_factor/P181</f>
        <v>0.00216673131854235</v>
      </c>
      <c r="AM181" s="220" t="n">
        <f aca="false">Algae_electricity_factor/Q181</f>
        <v>0.00201900447974111</v>
      </c>
      <c r="AN181" s="220" t="n">
        <f aca="false">Algae_electricity_factor/R181</f>
        <v>0.00185983504683773</v>
      </c>
      <c r="AO181" s="220" t="n">
        <f aca="false">Algae_electricity_factor/S181</f>
        <v>0.00170799894285005</v>
      </c>
      <c r="AP181" s="220" t="n">
        <f aca="false">Algae_electricity_factor/T181</f>
        <v>0.00157908328733099</v>
      </c>
      <c r="AQ181" s="220" t="n">
        <f aca="false">Algae_electricity_factor/U181</f>
        <v>0.00148001832283613</v>
      </c>
      <c r="AR181" s="220" t="n">
        <f aca="false">Algae_electricity_factor/V181</f>
        <v>0.00140956997791936</v>
      </c>
      <c r="AS181" s="220" t="n">
        <f aca="false">Algae_electricity_factor/W181</f>
        <v>0.00136218757689138</v>
      </c>
      <c r="AT181" s="220" t="n">
        <f aca="false">Algae_electricity_factor/X181</f>
        <v>0.00133150186107558</v>
      </c>
      <c r="AU181" s="220" t="n">
        <f aca="false">Algae_electricity_factor/Y181</f>
        <v>0.00131211326580692</v>
      </c>
      <c r="AV181" s="220" t="n">
        <f aca="false">Algae_electricity_factor/Z181</f>
        <v>0.00130005293291685</v>
      </c>
      <c r="AW181" s="220" t="n">
        <f aca="false">Algae_electricity_factor/AA181</f>
        <v>0.0012926239096581</v>
      </c>
      <c r="AX181" s="220" t="n">
        <f aca="false">Algae_electricity_factor/AB181</f>
        <v>0.0012880752113631</v>
      </c>
      <c r="AY181" s="220" t="n">
        <f aca="false">Algae_electricity_factor/AC181</f>
        <v>0.00128530036901892</v>
      </c>
      <c r="AZ181" s="221" t="n">
        <f aca="false">Algae_yield_cost_factor/H181</f>
        <v>0.141831688563078</v>
      </c>
      <c r="BA181" s="197" t="n">
        <f aca="false">Algae_yield_cost_factor/I181</f>
        <v>0.141831688563078</v>
      </c>
      <c r="BB181" s="197" t="n">
        <f aca="false">Algae_yield_cost_factor/J181</f>
        <v>0.141831688563078</v>
      </c>
      <c r="BC181" s="197" t="n">
        <f aca="false">Algae_yield_cost_factor/K181</f>
        <v>0.141831688563078</v>
      </c>
      <c r="BD181" s="197" t="n">
        <f aca="false">Algae_yield_cost_factor/L181</f>
        <v>0.141831688563078</v>
      </c>
      <c r="BE181" s="197" t="n">
        <f aca="false">Algae_yield_cost_factor/M181</f>
        <v>0.135409762347004</v>
      </c>
      <c r="BF181" s="197" t="n">
        <f aca="false">Algae_yield_cost_factor/N181</f>
        <v>0.131831212697827</v>
      </c>
      <c r="BG181" s="197" t="n">
        <f aca="false">Algae_yield_cost_factor/O181</f>
        <v>0.126725623899216</v>
      </c>
      <c r="BH181" s="197" t="n">
        <f aca="false">Algae_yield_cost_factor/P181</f>
        <v>0.11994978601824</v>
      </c>
      <c r="BI181" s="197" t="n">
        <f aca="false">Algae_yield_cost_factor/Q181</f>
        <v>0.111771659569558</v>
      </c>
      <c r="BJ181" s="197" t="n">
        <f aca="false">Algae_yield_cost_factor/R181</f>
        <v>0.102960073539477</v>
      </c>
      <c r="BK181" s="197" t="n">
        <f aca="false">Algae_yield_cost_factor/S181</f>
        <v>0.0945544590420519</v>
      </c>
      <c r="BL181" s="197" t="n">
        <f aca="false">Algae_yield_cost_factor/T181</f>
        <v>0.087417715708174</v>
      </c>
      <c r="BM181" s="197" t="n">
        <f aca="false">Algae_yield_cost_factor/U181</f>
        <v>0.0819335002951352</v>
      </c>
      <c r="BN181" s="197" t="n">
        <f aca="false">Algae_yield_cost_factor/V181</f>
        <v>0.0780334948695479</v>
      </c>
      <c r="BO181" s="197" t="n">
        <f aca="false">Algae_yield_cost_factor/W181</f>
        <v>0.0754104152030939</v>
      </c>
      <c r="BP181" s="197" t="n">
        <f aca="false">Algae_yield_cost_factor/X181</f>
        <v>0.0737116604869821</v>
      </c>
      <c r="BQ181" s="197" t="n">
        <f aca="false">Algae_yield_cost_factor/Y181</f>
        <v>0.0726383119671318</v>
      </c>
      <c r="BR181" s="197" t="n">
        <f aca="false">Algae_yield_cost_factor/Z181</f>
        <v>0.0719706544975176</v>
      </c>
      <c r="BS181" s="197" t="n">
        <f aca="false">Algae_yield_cost_factor/AA181</f>
        <v>0.0715593853463377</v>
      </c>
      <c r="BT181" s="197" t="n">
        <f aca="false">Algae_yield_cost_factor/AB181</f>
        <v>0.0713075703739517</v>
      </c>
      <c r="BU181" s="197" t="n">
        <f aca="false">Algae_yield_cost_factor/AC181</f>
        <v>0.0711539556905941</v>
      </c>
    </row>
    <row r="182" customFormat="false" ht="15" hidden="false" customHeight="false" outlineLevel="0" collapsed="false">
      <c r="A182" s="18" t="s">
        <v>717</v>
      </c>
      <c r="B182" s="18" t="s">
        <v>22</v>
      </c>
      <c r="C182" s="18" t="s">
        <v>682</v>
      </c>
      <c r="D182" s="18" t="s">
        <v>682</v>
      </c>
      <c r="E182" s="28" t="n">
        <v>6.150761</v>
      </c>
      <c r="F182" s="185" t="n">
        <f aca="false">E182/$B$2*$F$3/1000</f>
        <v>0.01506936445</v>
      </c>
      <c r="G182" s="18" t="n">
        <f aca="false">LOOKUP(RIGHT(D182,5),Ref!$C$4:$C$21,Ref!$E$4:$E$21)*$G$3</f>
        <v>3</v>
      </c>
      <c r="H182" s="218" t="n">
        <f aca="false">$E182</f>
        <v>6.150761</v>
      </c>
      <c r="I182" s="177" t="n">
        <f aca="false">$E182</f>
        <v>6.150761</v>
      </c>
      <c r="J182" s="177" t="n">
        <f aca="false">$E182</f>
        <v>6.150761</v>
      </c>
      <c r="K182" s="177" t="n">
        <f aca="false">$E182</f>
        <v>6.150761</v>
      </c>
      <c r="L182" s="177" t="n">
        <f aca="false">$E182</f>
        <v>6.150761</v>
      </c>
      <c r="M182" s="177" t="n">
        <f aca="false">M$3*$E182</f>
        <v>6.44246621113152</v>
      </c>
      <c r="N182" s="177" t="n">
        <f aca="false">N$3*$E182</f>
        <v>6.61734653520564</v>
      </c>
      <c r="O182" s="177" t="n">
        <f aca="false">O$3*$E182</f>
        <v>6.88394968385968</v>
      </c>
      <c r="P182" s="177" t="n">
        <f aca="false">P$3*$E182</f>
        <v>7.27281679723271</v>
      </c>
      <c r="Q182" s="177" t="n">
        <f aca="false">Q$3*$E182</f>
        <v>7.80495540584713</v>
      </c>
      <c r="R182" s="177" t="n">
        <f aca="false">R$3*$E182</f>
        <v>8.47292342155755</v>
      </c>
      <c r="S182" s="177" t="n">
        <f aca="false">S$3*$E182</f>
        <v>9.2261415</v>
      </c>
      <c r="T182" s="177" t="n">
        <f aca="false">T$3*$E182</f>
        <v>9.97935957844245</v>
      </c>
      <c r="U182" s="177" t="n">
        <f aca="false">U$3*$E182</f>
        <v>10.6473275941529</v>
      </c>
      <c r="V182" s="177" t="n">
        <f aca="false">V$3*$E182</f>
        <v>11.1794662027673</v>
      </c>
      <c r="W182" s="177" t="n">
        <f aca="false">W$3*$E182</f>
        <v>11.5683333161403</v>
      </c>
      <c r="X182" s="177" t="n">
        <f aca="false">X$3*$E182</f>
        <v>11.8349364647944</v>
      </c>
      <c r="Y182" s="177" t="n">
        <f aca="false">Y$3*$E182</f>
        <v>12.0098167888685</v>
      </c>
      <c r="Z182" s="177" t="n">
        <f aca="false">Z$3*$E182</f>
        <v>12.1212294742716</v>
      </c>
      <c r="AA182" s="177" t="n">
        <f aca="false">AA$3*$E182</f>
        <v>12.1908931212274</v>
      </c>
      <c r="AB182" s="177" t="n">
        <f aca="false">AB$3*$E182</f>
        <v>12.2339439417585</v>
      </c>
      <c r="AC182" s="177" t="n">
        <f aca="false">AC$3*$E182</f>
        <v>12.2603558735561</v>
      </c>
      <c r="AD182" s="219" t="n">
        <f aca="false">Algae_electricity_factor/H182</f>
        <v>0.00223445474527937</v>
      </c>
      <c r="AE182" s="220" t="n">
        <f aca="false">Algae_electricity_factor/I182</f>
        <v>0.00223445474527937</v>
      </c>
      <c r="AF182" s="220" t="n">
        <f aca="false">Algae_electricity_factor/J182</f>
        <v>0.00223445474527937</v>
      </c>
      <c r="AG182" s="220" t="n">
        <f aca="false">Algae_electricity_factor/K182</f>
        <v>0.00223445474527937</v>
      </c>
      <c r="AH182" s="220" t="n">
        <f aca="false">Algae_electricity_factor/L182</f>
        <v>0.00223445474527937</v>
      </c>
      <c r="AI182" s="220" t="n">
        <f aca="false">Algae_electricity_factor/M182</f>
        <v>0.00213328198443363</v>
      </c>
      <c r="AJ182" s="220" t="n">
        <f aca="false">Algae_electricity_factor/N182</f>
        <v>0.00207690454631785</v>
      </c>
      <c r="AK182" s="220" t="n">
        <f aca="false">Algae_electricity_factor/O182</f>
        <v>0.00199646972082799</v>
      </c>
      <c r="AL182" s="220" t="n">
        <f aca="false">Algae_electricity_factor/P182</f>
        <v>0.00188972133998462</v>
      </c>
      <c r="AM182" s="220" t="n">
        <f aca="false">Algae_electricity_factor/Q182</f>
        <v>0.00176088092613997</v>
      </c>
      <c r="AN182" s="220" t="n">
        <f aca="false">Algae_electricity_factor/R182</f>
        <v>0.00162206081888591</v>
      </c>
      <c r="AO182" s="220" t="n">
        <f aca="false">Algae_electricity_factor/S182</f>
        <v>0.00148963649685291</v>
      </c>
      <c r="AP182" s="220" t="n">
        <f aca="false">Algae_electricity_factor/T182</f>
        <v>0.001377202313986</v>
      </c>
      <c r="AQ182" s="220" t="n">
        <f aca="false">Algae_electricity_factor/U182</f>
        <v>0.00129080250250558</v>
      </c>
      <c r="AR182" s="220" t="n">
        <f aca="false">Algae_electricity_factor/V182</f>
        <v>0.00122936076322922</v>
      </c>
      <c r="AS182" s="220" t="n">
        <f aca="false">Algae_electricity_factor/W182</f>
        <v>0.0011880360573942</v>
      </c>
      <c r="AT182" s="220" t="n">
        <f aca="false">Algae_electricity_factor/X182</f>
        <v>0.00116127341658425</v>
      </c>
      <c r="AU182" s="220" t="n">
        <f aca="false">Algae_electricity_factor/Y182</f>
        <v>0.0011443635939782</v>
      </c>
      <c r="AV182" s="220" t="n">
        <f aca="false">Algae_electricity_factor/Z182</f>
        <v>0.00113384513779739</v>
      </c>
      <c r="AW182" s="220" t="n">
        <f aca="false">Algae_electricity_factor/AA182</f>
        <v>0.00112736589246265</v>
      </c>
      <c r="AX182" s="220" t="n">
        <f aca="false">Algae_electricity_factor/AB182</f>
        <v>0.00112339873134597</v>
      </c>
      <c r="AY182" s="220" t="n">
        <f aca="false">Algae_electricity_factor/AC182</f>
        <v>0.00112097864411687</v>
      </c>
      <c r="AZ182" s="221" t="n">
        <f aca="false">Algae_yield_cost_factor/H182</f>
        <v>0.123698940551619</v>
      </c>
      <c r="BA182" s="197" t="n">
        <f aca="false">Algae_yield_cost_factor/I182</f>
        <v>0.123698940551619</v>
      </c>
      <c r="BB182" s="197" t="n">
        <f aca="false">Algae_yield_cost_factor/J182</f>
        <v>0.123698940551619</v>
      </c>
      <c r="BC182" s="197" t="n">
        <f aca="false">Algae_yield_cost_factor/K182</f>
        <v>0.123698940551619</v>
      </c>
      <c r="BD182" s="197" t="n">
        <f aca="false">Algae_yield_cost_factor/L182</f>
        <v>0.123698940551619</v>
      </c>
      <c r="BE182" s="197" t="n">
        <f aca="false">Algae_yield_cost_factor/M182</f>
        <v>0.118098037979867</v>
      </c>
      <c r="BF182" s="197" t="n">
        <f aca="false">Algae_yield_cost_factor/N182</f>
        <v>0.114976994968962</v>
      </c>
      <c r="BG182" s="197" t="n">
        <f aca="false">Algae_yield_cost_factor/O182</f>
        <v>0.11052414009796</v>
      </c>
      <c r="BH182" s="197" t="n">
        <f aca="false">Algae_yield_cost_factor/P182</f>
        <v>0.104614572386275</v>
      </c>
      <c r="BI182" s="197" t="n">
        <f aca="false">Algae_yield_cost_factor/Q182</f>
        <v>0.0974819944155258</v>
      </c>
      <c r="BJ182" s="197" t="n">
        <f aca="false">Algae_yield_cost_factor/R182</f>
        <v>0.0897969427353038</v>
      </c>
      <c r="BK182" s="197" t="n">
        <f aca="false">Algae_yield_cost_factor/S182</f>
        <v>0.0824659603677461</v>
      </c>
      <c r="BL182" s="197" t="n">
        <f aca="false">Algae_yield_cost_factor/T182</f>
        <v>0.0762416278625535</v>
      </c>
      <c r="BM182" s="197" t="n">
        <f aca="false">Algae_yield_cost_factor/U182</f>
        <v>0.0714585526328734</v>
      </c>
      <c r="BN182" s="197" t="n">
        <f aca="false">Algae_yield_cost_factor/V182</f>
        <v>0.0680571509843541</v>
      </c>
      <c r="BO182" s="197" t="n">
        <f aca="false">Algae_yield_cost_factor/W182</f>
        <v>0.0657694240383512</v>
      </c>
      <c r="BP182" s="197" t="n">
        <f aca="false">Algae_yield_cost_factor/X182</f>
        <v>0.064287849922094</v>
      </c>
      <c r="BQ182" s="197" t="n">
        <f aca="false">Algae_yield_cost_factor/Y182</f>
        <v>0.0633517257308554</v>
      </c>
      <c r="BR182" s="197" t="n">
        <f aca="false">Algae_yield_cost_factor/Z182</f>
        <v>0.0627694262286823</v>
      </c>
      <c r="BS182" s="197" t="n">
        <f aca="false">Algae_yield_cost_factor/AA182</f>
        <v>0.0624107365818344</v>
      </c>
      <c r="BT182" s="197" t="n">
        <f aca="false">Algae_yield_cost_factor/AB182</f>
        <v>0.0621911153842392</v>
      </c>
      <c r="BU182" s="197" t="n">
        <f aca="false">Algae_yield_cost_factor/AC182</f>
        <v>0.0620571398687742</v>
      </c>
    </row>
    <row r="183" customFormat="false" ht="15" hidden="false" customHeight="false" outlineLevel="0" collapsed="false">
      <c r="A183" s="18" t="s">
        <v>717</v>
      </c>
      <c r="B183" s="18" t="s">
        <v>22</v>
      </c>
      <c r="C183" s="18" t="s">
        <v>683</v>
      </c>
      <c r="D183" s="18" t="s">
        <v>683</v>
      </c>
      <c r="E183" s="28" t="n">
        <v>6.540435</v>
      </c>
      <c r="F183" s="185" t="n">
        <f aca="false">E183/$B$2*$F$3/1000</f>
        <v>0.01602406575</v>
      </c>
      <c r="G183" s="18" t="n">
        <f aca="false">LOOKUP(RIGHT(D183,5),Ref!$C$4:$C$21,Ref!$E$4:$E$21)*$G$3</f>
        <v>3</v>
      </c>
      <c r="H183" s="218" t="n">
        <f aca="false">$E183</f>
        <v>6.540435</v>
      </c>
      <c r="I183" s="177" t="n">
        <f aca="false">$E183</f>
        <v>6.540435</v>
      </c>
      <c r="J183" s="177" t="n">
        <f aca="false">$E183</f>
        <v>6.540435</v>
      </c>
      <c r="K183" s="177" t="n">
        <f aca="false">$E183</f>
        <v>6.540435</v>
      </c>
      <c r="L183" s="177" t="n">
        <f aca="false">$E183</f>
        <v>6.540435</v>
      </c>
      <c r="M183" s="177" t="n">
        <f aca="false">M$3*$E183</f>
        <v>6.85062084083612</v>
      </c>
      <c r="N183" s="177" t="n">
        <f aca="false">N$3*$E183</f>
        <v>7.03658049564724</v>
      </c>
      <c r="O183" s="177" t="n">
        <f aca="false">O$3*$E183</f>
        <v>7.32007396329573</v>
      </c>
      <c r="P183" s="177" t="n">
        <f aca="false">P$3*$E183</f>
        <v>7.73357728079643</v>
      </c>
      <c r="Q183" s="177" t="n">
        <f aca="false">Q$3*$E183</f>
        <v>8.29942888527807</v>
      </c>
      <c r="R183" s="177" t="n">
        <f aca="false">R$3*$E183</f>
        <v>9.0097152041308</v>
      </c>
      <c r="S183" s="177" t="n">
        <f aca="false">S$3*$E183</f>
        <v>9.8106525</v>
      </c>
      <c r="T183" s="177" t="n">
        <f aca="false">T$3*$E183</f>
        <v>10.6115897958692</v>
      </c>
      <c r="U183" s="177" t="n">
        <f aca="false">U$3*$E183</f>
        <v>11.3218761147219</v>
      </c>
      <c r="V183" s="177" t="n">
        <f aca="false">V$3*$E183</f>
        <v>11.8877277192036</v>
      </c>
      <c r="W183" s="177" t="n">
        <f aca="false">W$3*$E183</f>
        <v>12.3012310367043</v>
      </c>
      <c r="X183" s="177" t="n">
        <f aca="false">X$3*$E183</f>
        <v>12.5847245043528</v>
      </c>
      <c r="Y183" s="177" t="n">
        <f aca="false">Y$3*$E183</f>
        <v>12.7706841591639</v>
      </c>
      <c r="Z183" s="177" t="n">
        <f aca="false">Z$3*$E183</f>
        <v>12.8891552600658</v>
      </c>
      <c r="AA183" s="177" t="n">
        <f aca="false">AA$3*$E183</f>
        <v>12.9632323628466</v>
      </c>
      <c r="AB183" s="177" t="n">
        <f aca="false">AB$3*$E183</f>
        <v>13.0090106158759</v>
      </c>
      <c r="AC183" s="177" t="n">
        <f aca="false">AC$3*$E183</f>
        <v>13.037095843565</v>
      </c>
      <c r="AD183" s="219" t="n">
        <f aca="false">Algae_electricity_factor/H183</f>
        <v>0.00210132767981476</v>
      </c>
      <c r="AE183" s="220" t="n">
        <f aca="false">Algae_electricity_factor/I183</f>
        <v>0.00210132767981476</v>
      </c>
      <c r="AF183" s="220" t="n">
        <f aca="false">Algae_electricity_factor/J183</f>
        <v>0.00210132767981476</v>
      </c>
      <c r="AG183" s="220" t="n">
        <f aca="false">Algae_electricity_factor/K183</f>
        <v>0.00210132767981476</v>
      </c>
      <c r="AH183" s="220" t="n">
        <f aca="false">Algae_electricity_factor/L183</f>
        <v>0.00210132767981476</v>
      </c>
      <c r="AI183" s="220" t="n">
        <f aca="false">Algae_electricity_factor/M183</f>
        <v>0.00200618271290166</v>
      </c>
      <c r="AJ183" s="220" t="n">
        <f aca="false">Algae_electricity_factor/N183</f>
        <v>0.00195316419843856</v>
      </c>
      <c r="AK183" s="220" t="n">
        <f aca="false">Algae_electricity_factor/O183</f>
        <v>0.0018775216169184</v>
      </c>
      <c r="AL183" s="220" t="n">
        <f aca="false">Algae_electricity_factor/P183</f>
        <v>0.00177713322108471</v>
      </c>
      <c r="AM183" s="220" t="n">
        <f aca="false">Algae_electricity_factor/Q183</f>
        <v>0.00165596901829092</v>
      </c>
      <c r="AN183" s="220" t="n">
        <f aca="false">Algae_electricity_factor/R183</f>
        <v>0.00152541970441286</v>
      </c>
      <c r="AO183" s="220" t="n">
        <f aca="false">Algae_electricity_factor/S183</f>
        <v>0.00140088511987651</v>
      </c>
      <c r="AP183" s="220" t="n">
        <f aca="false">Algae_electricity_factor/T183</f>
        <v>0.00129514967765521</v>
      </c>
      <c r="AQ183" s="220" t="n">
        <f aca="false">Algae_electricity_factor/U183</f>
        <v>0.00121389749934274</v>
      </c>
      <c r="AR183" s="220" t="n">
        <f aca="false">Algae_electricity_factor/V183</f>
        <v>0.00115611641081985</v>
      </c>
      <c r="AS183" s="220" t="n">
        <f aca="false">Algae_electricity_factor/W183</f>
        <v>0.00111725379862562</v>
      </c>
      <c r="AT183" s="220" t="n">
        <f aca="false">Algae_electricity_factor/X183</f>
        <v>0.00109208565501578</v>
      </c>
      <c r="AU183" s="220" t="n">
        <f aca="false">Algae_electricity_factor/Y183</f>
        <v>0.00107618330641019</v>
      </c>
      <c r="AV183" s="220" t="n">
        <f aca="false">Algae_electricity_factor/Z183</f>
        <v>0.0010662915316189</v>
      </c>
      <c r="AW183" s="220" t="n">
        <f aca="false">Algae_electricity_factor/AA183</f>
        <v>0.00106019831465177</v>
      </c>
      <c r="AX183" s="220" t="n">
        <f aca="false">Algae_electricity_factor/AB183</f>
        <v>0.00105646751389048</v>
      </c>
      <c r="AY183" s="220" t="n">
        <f aca="false">Algae_electricity_factor/AC183</f>
        <v>0.00105419161356499</v>
      </c>
      <c r="AZ183" s="221" t="n">
        <f aca="false">Algae_yield_cost_factor/H183</f>
        <v>0.116329054456809</v>
      </c>
      <c r="BA183" s="197" t="n">
        <f aca="false">Algae_yield_cost_factor/I183</f>
        <v>0.116329054456809</v>
      </c>
      <c r="BB183" s="197" t="n">
        <f aca="false">Algae_yield_cost_factor/J183</f>
        <v>0.116329054456809</v>
      </c>
      <c r="BC183" s="197" t="n">
        <f aca="false">Algae_yield_cost_factor/K183</f>
        <v>0.116329054456809</v>
      </c>
      <c r="BD183" s="197" t="n">
        <f aca="false">Algae_yield_cost_factor/L183</f>
        <v>0.116329054456809</v>
      </c>
      <c r="BE183" s="197" t="n">
        <f aca="false">Algae_yield_cost_factor/M183</f>
        <v>0.11106184927808</v>
      </c>
      <c r="BF183" s="197" t="n">
        <f aca="false">Algae_yield_cost_factor/N183</f>
        <v>0.108126755567831</v>
      </c>
      <c r="BG183" s="197" t="n">
        <f aca="false">Algae_yield_cost_factor/O183</f>
        <v>0.103939198306087</v>
      </c>
      <c r="BH183" s="197" t="n">
        <f aca="false">Algae_yield_cost_factor/P183</f>
        <v>0.0983817180149603</v>
      </c>
      <c r="BI183" s="197" t="n">
        <f aca="false">Algae_yield_cost_factor/Q183</f>
        <v>0.0916740934591099</v>
      </c>
      <c r="BJ183" s="197" t="n">
        <f aca="false">Algae_yield_cost_factor/R183</f>
        <v>0.0844469111451364</v>
      </c>
      <c r="BK183" s="197" t="n">
        <f aca="false">Algae_yield_cost_factor/S183</f>
        <v>0.0775527029712058</v>
      </c>
      <c r="BL183" s="197" t="n">
        <f aca="false">Algae_yield_cost_factor/T183</f>
        <v>0.0716992113266942</v>
      </c>
      <c r="BM183" s="197" t="n">
        <f aca="false">Algae_yield_cost_factor/U183</f>
        <v>0.0672011079768738</v>
      </c>
      <c r="BN183" s="197" t="n">
        <f aca="false">Algae_yield_cost_factor/V183</f>
        <v>0.0640023591772836</v>
      </c>
      <c r="BO183" s="197" t="n">
        <f aca="false">Algae_yield_cost_factor/W183</f>
        <v>0.0618509332127837</v>
      </c>
      <c r="BP183" s="197" t="n">
        <f aca="false">Algae_yield_cost_factor/X183</f>
        <v>0.0604576301231751</v>
      </c>
      <c r="BQ183" s="197" t="n">
        <f aca="false">Algae_yield_cost_factor/Y183</f>
        <v>0.0595772794788178</v>
      </c>
      <c r="BR183" s="197" t="n">
        <f aca="false">Algae_yield_cost_factor/Z183</f>
        <v>0.0590296729253874</v>
      </c>
      <c r="BS183" s="197" t="n">
        <f aca="false">Algae_yield_cost_factor/AA183</f>
        <v>0.0586923537270565</v>
      </c>
      <c r="BT183" s="197" t="n">
        <f aca="false">Algae_yield_cost_factor/AB183</f>
        <v>0.0584858173885802</v>
      </c>
      <c r="BU183" s="197" t="n">
        <f aca="false">Algae_yield_cost_factor/AC183</f>
        <v>0.0583598240295028</v>
      </c>
    </row>
    <row r="184" customFormat="false" ht="15" hidden="false" customHeight="false" outlineLevel="0" collapsed="false">
      <c r="A184" s="18" t="s">
        <v>717</v>
      </c>
      <c r="B184" s="18" t="s">
        <v>22</v>
      </c>
      <c r="C184" s="18" t="s">
        <v>684</v>
      </c>
      <c r="D184" s="18" t="s">
        <v>684</v>
      </c>
      <c r="E184" s="28" t="n">
        <v>5.4186075</v>
      </c>
      <c r="F184" s="185" t="n">
        <f aca="false">E184/$B$2*$F$3/1000</f>
        <v>0.013275588375</v>
      </c>
      <c r="G184" s="18" t="n">
        <f aca="false">LOOKUP(RIGHT(D184,5),Ref!$C$4:$C$21,Ref!$E$4:$E$21)*$G$3</f>
        <v>3.5</v>
      </c>
      <c r="H184" s="218" t="n">
        <f aca="false">$E184</f>
        <v>5.4186075</v>
      </c>
      <c r="I184" s="177" t="n">
        <f aca="false">$E184</f>
        <v>5.4186075</v>
      </c>
      <c r="J184" s="177" t="n">
        <f aca="false">$E184</f>
        <v>5.4186075</v>
      </c>
      <c r="K184" s="177" t="n">
        <f aca="false">$E184</f>
        <v>5.4186075</v>
      </c>
      <c r="L184" s="177" t="n">
        <f aca="false">$E184</f>
        <v>5.4186075</v>
      </c>
      <c r="M184" s="177" t="n">
        <f aca="false">M$3*$E184</f>
        <v>5.67558969209401</v>
      </c>
      <c r="N184" s="177" t="n">
        <f aca="false">N$3*$E184</f>
        <v>5.82965320319946</v>
      </c>
      <c r="O184" s="177" t="n">
        <f aca="false">O$3*$E184</f>
        <v>6.06452134729096</v>
      </c>
      <c r="P184" s="177" t="n">
        <f aca="false">P$3*$E184</f>
        <v>6.40709981148855</v>
      </c>
      <c r="Q184" s="177" t="n">
        <f aca="false">Q$3*$E184</f>
        <v>6.87589550289612</v>
      </c>
      <c r="R184" s="177" t="n">
        <f aca="false">R$3*$E184</f>
        <v>7.46435219950465</v>
      </c>
      <c r="S184" s="177" t="n">
        <f aca="false">S$3*$E184</f>
        <v>8.12791125</v>
      </c>
      <c r="T184" s="177" t="n">
        <f aca="false">T$3*$E184</f>
        <v>8.79147030049535</v>
      </c>
      <c r="U184" s="177" t="n">
        <f aca="false">U$3*$E184</f>
        <v>9.37992699710388</v>
      </c>
      <c r="V184" s="177" t="n">
        <f aca="false">V$3*$E184</f>
        <v>9.84872268851145</v>
      </c>
      <c r="W184" s="177" t="n">
        <f aca="false">W$3*$E184</f>
        <v>10.191301152709</v>
      </c>
      <c r="X184" s="177" t="n">
        <f aca="false">X$3*$E184</f>
        <v>10.4261692968005</v>
      </c>
      <c r="Y184" s="177" t="n">
        <f aca="false">Y$3*$E184</f>
        <v>10.580232807906</v>
      </c>
      <c r="Z184" s="177" t="n">
        <f aca="false">Z$3*$E184</f>
        <v>10.678383526609</v>
      </c>
      <c r="AA184" s="177" t="n">
        <f aca="false">AA$3*$E184</f>
        <v>10.7397547878028</v>
      </c>
      <c r="AB184" s="177" t="n">
        <f aca="false">AB$3*$E184</f>
        <v>10.7776810702598</v>
      </c>
      <c r="AC184" s="177" t="n">
        <f aca="false">AC$3*$E184</f>
        <v>10.8009490677853</v>
      </c>
      <c r="AD184" s="219" t="n">
        <f aca="false">Algae_electricity_factor/H184</f>
        <v>0.00253637066414743</v>
      </c>
      <c r="AE184" s="220" t="n">
        <f aca="false">Algae_electricity_factor/I184</f>
        <v>0.00253637066414743</v>
      </c>
      <c r="AF184" s="220" t="n">
        <f aca="false">Algae_electricity_factor/J184</f>
        <v>0.00253637066414743</v>
      </c>
      <c r="AG184" s="220" t="n">
        <f aca="false">Algae_electricity_factor/K184</f>
        <v>0.00253637066414743</v>
      </c>
      <c r="AH184" s="220" t="n">
        <f aca="false">Algae_electricity_factor/L184</f>
        <v>0.00253637066414743</v>
      </c>
      <c r="AI184" s="220" t="n">
        <f aca="false">Algae_electricity_factor/M184</f>
        <v>0.00242152760314471</v>
      </c>
      <c r="AJ184" s="220" t="n">
        <f aca="false">Algae_electricity_factor/N184</f>
        <v>0.00235753253658149</v>
      </c>
      <c r="AK184" s="220" t="n">
        <f aca="false">Algae_electricity_factor/O184</f>
        <v>0.0022662294872898</v>
      </c>
      <c r="AL184" s="220" t="n">
        <f aca="false">Algae_electricity_factor/P184</f>
        <v>0.00214505743751419</v>
      </c>
      <c r="AM184" s="220" t="n">
        <f aca="false">Algae_electricity_factor/Q184</f>
        <v>0.00199880831489374</v>
      </c>
      <c r="AN184" s="220" t="n">
        <f aca="false">Algae_electricity_factor/R184</f>
        <v>0.00184123105879721</v>
      </c>
      <c r="AO184" s="220" t="n">
        <f aca="false">Algae_electricity_factor/S184</f>
        <v>0.00169091377609829</v>
      </c>
      <c r="AP184" s="220" t="n">
        <f aca="false">Algae_electricity_factor/T184</f>
        <v>0.00156328766790634</v>
      </c>
      <c r="AQ184" s="220" t="n">
        <f aca="false">Algae_electricity_factor/U184</f>
        <v>0.00146521365334428</v>
      </c>
      <c r="AR184" s="220" t="n">
        <f aca="false">Algae_electricity_factor/V184</f>
        <v>0.00139547000542123</v>
      </c>
      <c r="AS184" s="220" t="n">
        <f aca="false">Algae_electricity_factor/W184</f>
        <v>0.00134856157203008</v>
      </c>
      <c r="AT184" s="220" t="n">
        <f aca="false">Algae_electricity_factor/X184</f>
        <v>0.00131818280638765</v>
      </c>
      <c r="AU184" s="220" t="n">
        <f aca="false">Algae_electricity_factor/Y184</f>
        <v>0.0012989881558428</v>
      </c>
      <c r="AV184" s="220" t="n">
        <f aca="false">Algae_electricity_factor/Z184</f>
        <v>0.00128704846283918</v>
      </c>
      <c r="AW184" s="220" t="n">
        <f aca="false">Algae_electricity_factor/AA184</f>
        <v>0.00127969375233203</v>
      </c>
      <c r="AX184" s="220" t="n">
        <f aca="false">Algae_electricity_factor/AB184</f>
        <v>0.00127519055480809</v>
      </c>
      <c r="AY184" s="220" t="n">
        <f aca="false">Algae_electricity_factor/AC184</f>
        <v>0.00127244346929851</v>
      </c>
      <c r="AZ184" s="221" t="n">
        <f aca="false">Algae_yield_cost_factor/H184</f>
        <v>0.140412941754172</v>
      </c>
      <c r="BA184" s="197" t="n">
        <f aca="false">Algae_yield_cost_factor/I184</f>
        <v>0.140412941754172</v>
      </c>
      <c r="BB184" s="197" t="n">
        <f aca="false">Algae_yield_cost_factor/J184</f>
        <v>0.140412941754172</v>
      </c>
      <c r="BC184" s="197" t="n">
        <f aca="false">Algae_yield_cost_factor/K184</f>
        <v>0.140412941754172</v>
      </c>
      <c r="BD184" s="197" t="n">
        <f aca="false">Algae_yield_cost_factor/L184</f>
        <v>0.140412941754172</v>
      </c>
      <c r="BE184" s="197" t="n">
        <f aca="false">Algae_yield_cost_factor/M184</f>
        <v>0.13405525426654</v>
      </c>
      <c r="BF184" s="197" t="n">
        <f aca="false">Algae_yield_cost_factor/N184</f>
        <v>0.130512500961232</v>
      </c>
      <c r="BG184" s="197" t="n">
        <f aca="false">Algae_yield_cost_factor/O184</f>
        <v>0.125457983526777</v>
      </c>
      <c r="BH184" s="197" t="n">
        <f aca="false">Algae_yield_cost_factor/P184</f>
        <v>0.118749924563677</v>
      </c>
      <c r="BI184" s="197" t="n">
        <f aca="false">Algae_yield_cost_factor/Q184</f>
        <v>0.110653604169195</v>
      </c>
      <c r="BJ184" s="197" t="n">
        <f aca="false">Algae_yield_cost_factor/R184</f>
        <v>0.101930160709286</v>
      </c>
      <c r="BK184" s="197" t="n">
        <f aca="false">Algae_yield_cost_factor/S184</f>
        <v>0.0936086278361144</v>
      </c>
      <c r="BL184" s="197" t="n">
        <f aca="false">Algae_yield_cost_factor/T184</f>
        <v>0.0865432735686258</v>
      </c>
      <c r="BM184" s="197" t="n">
        <f aca="false">Algae_yield_cost_factor/U184</f>
        <v>0.0811139169335895</v>
      </c>
      <c r="BN184" s="197" t="n">
        <f aca="false">Algae_yield_cost_factor/V184</f>
        <v>0.0772529233840386</v>
      </c>
      <c r="BO184" s="197" t="n">
        <f aca="false">Algae_yield_cost_factor/W184</f>
        <v>0.0746560824653849</v>
      </c>
      <c r="BP184" s="197" t="n">
        <f aca="false">Algae_yield_cost_factor/X184</f>
        <v>0.0729743204457361</v>
      </c>
      <c r="BQ184" s="197" t="n">
        <f aca="false">Algae_yield_cost_factor/Y184</f>
        <v>0.0719117086646415</v>
      </c>
      <c r="BR184" s="197" t="n">
        <f aca="false">Algae_yield_cost_factor/Z184</f>
        <v>0.0712507297935412</v>
      </c>
      <c r="BS184" s="197" t="n">
        <f aca="false">Algae_yield_cost_factor/AA184</f>
        <v>0.070843574580521</v>
      </c>
      <c r="BT184" s="197" t="n">
        <f aca="false">Algae_yield_cost_factor/AB184</f>
        <v>0.0705942785211659</v>
      </c>
      <c r="BU184" s="197" t="n">
        <f aca="false">Algae_yield_cost_factor/AC184</f>
        <v>0.070442200450282</v>
      </c>
    </row>
    <row r="185" customFormat="false" ht="15" hidden="false" customHeight="false" outlineLevel="0" collapsed="false">
      <c r="A185" s="18" t="s">
        <v>717</v>
      </c>
      <c r="B185" s="18" t="s">
        <v>22</v>
      </c>
      <c r="C185" s="18" t="s">
        <v>686</v>
      </c>
      <c r="D185" s="18" t="s">
        <v>686</v>
      </c>
      <c r="E185" s="28" t="n">
        <v>5.7086</v>
      </c>
      <c r="F185" s="185" t="n">
        <f aca="false">E185/$B$2*$F$3/1000</f>
        <v>0.01398607</v>
      </c>
      <c r="G185" s="18" t="n">
        <f aca="false">LOOKUP(RIGHT(D185,5),Ref!$C$4:$C$21,Ref!$E$4:$E$21)*$G$3</f>
        <v>4.5</v>
      </c>
      <c r="H185" s="218" t="n">
        <f aca="false">$E185</f>
        <v>5.7086</v>
      </c>
      <c r="I185" s="177" t="n">
        <f aca="false">$E185</f>
        <v>5.7086</v>
      </c>
      <c r="J185" s="177" t="n">
        <f aca="false">$E185</f>
        <v>5.7086</v>
      </c>
      <c r="K185" s="177" t="n">
        <f aca="false">$E185</f>
        <v>5.7086</v>
      </c>
      <c r="L185" s="177" t="n">
        <f aca="false">$E185</f>
        <v>5.7086</v>
      </c>
      <c r="M185" s="177" t="n">
        <f aca="false">M$3*$E185</f>
        <v>5.97933533962146</v>
      </c>
      <c r="N185" s="177" t="n">
        <f aca="false">N$3*$E185</f>
        <v>6.14164400646927</v>
      </c>
      <c r="O185" s="177" t="n">
        <f aca="false">O$3*$E185</f>
        <v>6.38908180065546</v>
      </c>
      <c r="P185" s="177" t="n">
        <f aca="false">P$3*$E185</f>
        <v>6.74999434520097</v>
      </c>
      <c r="Q185" s="177" t="n">
        <f aca="false">Q$3*$E185</f>
        <v>7.24387899803276</v>
      </c>
      <c r="R185" s="177" t="n">
        <f aca="false">R$3*$E185</f>
        <v>7.86382866190109</v>
      </c>
      <c r="S185" s="177" t="n">
        <f aca="false">S$3*$E185</f>
        <v>8.5629</v>
      </c>
      <c r="T185" s="177" t="n">
        <f aca="false">T$3*$E185</f>
        <v>9.26197133809891</v>
      </c>
      <c r="U185" s="177" t="n">
        <f aca="false">U$3*$E185</f>
        <v>9.88192100196724</v>
      </c>
      <c r="V185" s="177" t="n">
        <f aca="false">V$3*$E185</f>
        <v>10.375805654799</v>
      </c>
      <c r="W185" s="177" t="n">
        <f aca="false">W$3*$E185</f>
        <v>10.7367181993445</v>
      </c>
      <c r="X185" s="177" t="n">
        <f aca="false">X$3*$E185</f>
        <v>10.9841559935307</v>
      </c>
      <c r="Y185" s="177" t="n">
        <f aca="false">Y$3*$E185</f>
        <v>11.1464646603785</v>
      </c>
      <c r="Z185" s="177" t="n">
        <f aca="false">Z$3*$E185</f>
        <v>11.2498681995328</v>
      </c>
      <c r="AA185" s="177" t="n">
        <f aca="false">AA$3*$E185</f>
        <v>11.3145239218104</v>
      </c>
      <c r="AB185" s="177" t="n">
        <f aca="false">AB$3*$E185</f>
        <v>11.354479939299</v>
      </c>
      <c r="AC185" s="177" t="n">
        <f aca="false">AC$3*$E185</f>
        <v>11.3789931912136</v>
      </c>
      <c r="AD185" s="219" t="n">
        <f aca="false">Algae_electricity_factor/H185</f>
        <v>0.00240752498047319</v>
      </c>
      <c r="AE185" s="220" t="n">
        <f aca="false">Algae_electricity_factor/I185</f>
        <v>0.00240752498047319</v>
      </c>
      <c r="AF185" s="220" t="n">
        <f aca="false">Algae_electricity_factor/J185</f>
        <v>0.00240752498047319</v>
      </c>
      <c r="AG185" s="220" t="n">
        <f aca="false">Algae_electricity_factor/K185</f>
        <v>0.00240752498047319</v>
      </c>
      <c r="AH185" s="220" t="n">
        <f aca="false">Algae_electricity_factor/L185</f>
        <v>0.00240752498047319</v>
      </c>
      <c r="AI185" s="220" t="n">
        <f aca="false">Algae_electricity_factor/M185</f>
        <v>0.00229851585885453</v>
      </c>
      <c r="AJ185" s="220" t="n">
        <f aca="false">Algae_electricity_factor/N185</f>
        <v>0.00223777169257165</v>
      </c>
      <c r="AK185" s="220" t="n">
        <f aca="false">Algae_electricity_factor/O185</f>
        <v>0.00215110676813048</v>
      </c>
      <c r="AL185" s="220" t="n">
        <f aca="false">Algae_electricity_factor/P185</f>
        <v>0.00203609016551259</v>
      </c>
      <c r="AM185" s="220" t="n">
        <f aca="false">Algae_electricity_factor/Q185</f>
        <v>0.00189727038610966</v>
      </c>
      <c r="AN185" s="220" t="n">
        <f aca="false">Algae_electricity_factor/R185</f>
        <v>0.00174769793371957</v>
      </c>
      <c r="AO185" s="220" t="n">
        <f aca="false">Algae_electricity_factor/S185</f>
        <v>0.00160501665364879</v>
      </c>
      <c r="AP185" s="220" t="n">
        <f aca="false">Algae_electricity_factor/T185</f>
        <v>0.00148387385383015</v>
      </c>
      <c r="AQ185" s="220" t="n">
        <f aca="false">Algae_electricity_factor/U185</f>
        <v>0.00139078192395924</v>
      </c>
      <c r="AR185" s="220" t="n">
        <f aca="false">Algae_electricity_factor/V185</f>
        <v>0.00132458119983893</v>
      </c>
      <c r="AS185" s="220" t="n">
        <f aca="false">Algae_electricity_factor/W185</f>
        <v>0.00128005567887293</v>
      </c>
      <c r="AT185" s="220" t="n">
        <f aca="false">Algae_electricity_factor/X185</f>
        <v>0.00125122013121661</v>
      </c>
      <c r="AU185" s="220" t="n">
        <f aca="false">Algae_electricity_factor/Y185</f>
        <v>0.00123300055419209</v>
      </c>
      <c r="AV185" s="220" t="n">
        <f aca="false">Algae_electricity_factor/Z185</f>
        <v>0.00122166738843216</v>
      </c>
      <c r="AW185" s="220" t="n">
        <f aca="false">Algae_electricity_factor/AA185</f>
        <v>0.00121468629157577</v>
      </c>
      <c r="AX185" s="220" t="n">
        <f aca="false">Algae_electricity_factor/AB185</f>
        <v>0.00121041185303092</v>
      </c>
      <c r="AY185" s="220" t="n">
        <f aca="false">Algae_electricity_factor/AC185</f>
        <v>0.00120780431735749</v>
      </c>
      <c r="AZ185" s="221" t="n">
        <f aca="false">Algae_yield_cost_factor/H185</f>
        <v>0.133280072046775</v>
      </c>
      <c r="BA185" s="197" t="n">
        <f aca="false">Algae_yield_cost_factor/I185</f>
        <v>0.133280072046775</v>
      </c>
      <c r="BB185" s="197" t="n">
        <f aca="false">Algae_yield_cost_factor/J185</f>
        <v>0.133280072046775</v>
      </c>
      <c r="BC185" s="197" t="n">
        <f aca="false">Algae_yield_cost_factor/K185</f>
        <v>0.133280072046775</v>
      </c>
      <c r="BD185" s="197" t="n">
        <f aca="false">Algae_yield_cost_factor/L185</f>
        <v>0.133280072046775</v>
      </c>
      <c r="BE185" s="197" t="n">
        <f aca="false">Algae_yield_cost_factor/M185</f>
        <v>0.127245350205494</v>
      </c>
      <c r="BF185" s="197" t="n">
        <f aca="false">Algae_yield_cost_factor/N185</f>
        <v>0.12388256604987</v>
      </c>
      <c r="BG185" s="197" t="n">
        <f aca="false">Algae_yield_cost_factor/O185</f>
        <v>0.119084814222939</v>
      </c>
      <c r="BH185" s="197" t="n">
        <f aca="false">Algae_yield_cost_factor/P185</f>
        <v>0.112717519508317</v>
      </c>
      <c r="BI185" s="197" t="n">
        <f aca="false">Algae_yield_cost_factor/Q185</f>
        <v>0.105032485977864</v>
      </c>
      <c r="BJ185" s="197" t="n">
        <f aca="false">Algae_yield_cost_factor/R185</f>
        <v>0.0967521867525383</v>
      </c>
      <c r="BK185" s="197" t="n">
        <f aca="false">Algae_yield_cost_factor/S185</f>
        <v>0.0888533813645164</v>
      </c>
      <c r="BL185" s="197" t="n">
        <f aca="false">Algae_yield_cost_factor/T185</f>
        <v>0.0821469416728282</v>
      </c>
      <c r="BM185" s="197" t="n">
        <f aca="false">Algae_yield_cost_factor/U185</f>
        <v>0.076993392189105</v>
      </c>
      <c r="BN185" s="197" t="n">
        <f aca="false">Algae_yield_cost_factor/V185</f>
        <v>0.0733285341494722</v>
      </c>
      <c r="BO185" s="197" t="n">
        <f aca="false">Algae_yield_cost_factor/W185</f>
        <v>0.070863610757025</v>
      </c>
      <c r="BP185" s="197" t="n">
        <f aca="false">Algae_yield_cost_factor/X185</f>
        <v>0.0692672809576199</v>
      </c>
      <c r="BQ185" s="197" t="n">
        <f aca="false">Algae_yield_cost_factor/Y185</f>
        <v>0.0682586490397018</v>
      </c>
      <c r="BR185" s="197" t="n">
        <f aca="false">Algae_yield_cost_factor/Z185</f>
        <v>0.0676312473881085</v>
      </c>
      <c r="BS185" s="197" t="n">
        <f aca="false">Algae_yield_cost_factor/AA185</f>
        <v>0.0672447753475144</v>
      </c>
      <c r="BT185" s="197" t="n">
        <f aca="false">Algae_yield_cost_factor/AB185</f>
        <v>0.0670081433366988</v>
      </c>
      <c r="BU185" s="197" t="n">
        <f aca="false">Algae_yield_cost_factor/AC185</f>
        <v>0.0668637907151318</v>
      </c>
    </row>
    <row r="186" customFormat="false" ht="15" hidden="false" customHeight="false" outlineLevel="0" collapsed="false">
      <c r="A186" s="18" t="s">
        <v>717</v>
      </c>
      <c r="B186" s="18" t="s">
        <v>22</v>
      </c>
      <c r="C186" s="18" t="s">
        <v>687</v>
      </c>
      <c r="D186" s="18" t="s">
        <v>687</v>
      </c>
      <c r="E186" s="28" t="n">
        <v>6.46488</v>
      </c>
      <c r="F186" s="185" t="n">
        <f aca="false">E186/$B$2*$F$3/1000</f>
        <v>0.015838956</v>
      </c>
      <c r="G186" s="18" t="n">
        <f aca="false">LOOKUP(RIGHT(D186,5),Ref!$C$4:$C$21,Ref!$E$4:$E$21)*$G$3</f>
        <v>4.5</v>
      </c>
      <c r="H186" s="218" t="n">
        <f aca="false">$E186</f>
        <v>6.46488</v>
      </c>
      <c r="I186" s="177" t="n">
        <f aca="false">$E186</f>
        <v>6.46488</v>
      </c>
      <c r="J186" s="177" t="n">
        <f aca="false">$E186</f>
        <v>6.46488</v>
      </c>
      <c r="K186" s="177" t="n">
        <f aca="false">$E186</f>
        <v>6.46488</v>
      </c>
      <c r="L186" s="177" t="n">
        <f aca="false">$E186</f>
        <v>6.46488</v>
      </c>
      <c r="M186" s="177" t="n">
        <f aca="false">M$3*$E186</f>
        <v>6.77148257898819</v>
      </c>
      <c r="N186" s="177" t="n">
        <f aca="false">N$3*$E186</f>
        <v>6.95529403085574</v>
      </c>
      <c r="O186" s="177" t="n">
        <f aca="false">O$3*$E186</f>
        <v>7.23551258652235</v>
      </c>
      <c r="P186" s="177" t="n">
        <f aca="false">P$3*$E186</f>
        <v>7.64423912034524</v>
      </c>
      <c r="Q186" s="177" t="n">
        <f aca="false">Q$3*$E186</f>
        <v>8.20355401618646</v>
      </c>
      <c r="R186" s="177" t="n">
        <f aca="false">R$3*$E186</f>
        <v>8.90563511889975</v>
      </c>
      <c r="S186" s="177" t="n">
        <f aca="false">S$3*$E186</f>
        <v>9.69732</v>
      </c>
      <c r="T186" s="177" t="n">
        <f aca="false">T$3*$E186</f>
        <v>10.4890048811002</v>
      </c>
      <c r="U186" s="177" t="n">
        <f aca="false">U$3*$E186</f>
        <v>11.1910859838135</v>
      </c>
      <c r="V186" s="177" t="n">
        <f aca="false">V$3*$E186</f>
        <v>11.7504008796548</v>
      </c>
      <c r="W186" s="177" t="n">
        <f aca="false">W$3*$E186</f>
        <v>12.1591274134777</v>
      </c>
      <c r="X186" s="177" t="n">
        <f aca="false">X$3*$E186</f>
        <v>12.4393459691443</v>
      </c>
      <c r="Y186" s="177" t="n">
        <f aca="false">Y$3*$E186</f>
        <v>12.6231574210118</v>
      </c>
      <c r="Z186" s="177" t="n">
        <f aca="false">Z$3*$E186</f>
        <v>12.7402599456602</v>
      </c>
      <c r="AA186" s="177" t="n">
        <f aca="false">AA$3*$E186</f>
        <v>12.8134813109403</v>
      </c>
      <c r="AB186" s="177" t="n">
        <f aca="false">AB$3*$E186</f>
        <v>12.8587307343263</v>
      </c>
      <c r="AC186" s="177" t="n">
        <f aca="false">AC$3*$E186</f>
        <v>12.8864915219166</v>
      </c>
      <c r="AD186" s="219" t="n">
        <f aca="false">Algae_electricity_factor/H186</f>
        <v>0.00212588587932479</v>
      </c>
      <c r="AE186" s="220" t="n">
        <f aca="false">Algae_electricity_factor/I186</f>
        <v>0.00212588587932479</v>
      </c>
      <c r="AF186" s="220" t="n">
        <f aca="false">Algae_electricity_factor/J186</f>
        <v>0.00212588587932479</v>
      </c>
      <c r="AG186" s="220" t="n">
        <f aca="false">Algae_electricity_factor/K186</f>
        <v>0.00212588587932479</v>
      </c>
      <c r="AH186" s="220" t="n">
        <f aca="false">Algae_electricity_factor/L186</f>
        <v>0.00212588587932479</v>
      </c>
      <c r="AI186" s="220" t="n">
        <f aca="false">Algae_electricity_factor/M186</f>
        <v>0.00202962895395691</v>
      </c>
      <c r="AJ186" s="220" t="n">
        <f aca="false">Algae_electricity_factor/N186</f>
        <v>0.00197599081254633</v>
      </c>
      <c r="AK186" s="220" t="n">
        <f aca="false">Algae_electricity_factor/O186</f>
        <v>0.00189946419679092</v>
      </c>
      <c r="AL186" s="220" t="n">
        <f aca="false">Algae_electricity_factor/P186</f>
        <v>0.00179790256259129</v>
      </c>
      <c r="AM186" s="220" t="n">
        <f aca="false">Algae_electricity_factor/Q186</f>
        <v>0.00167532231474453</v>
      </c>
      <c r="AN186" s="220" t="n">
        <f aca="false">Algae_electricity_factor/R186</f>
        <v>0.00154324727209655</v>
      </c>
      <c r="AO186" s="220" t="n">
        <f aca="false">Algae_electricity_factor/S186</f>
        <v>0.00141725725288319</v>
      </c>
      <c r="AP186" s="220" t="n">
        <f aca="false">Algae_electricity_factor/T186</f>
        <v>0.00131028608140829</v>
      </c>
      <c r="AQ186" s="220" t="n">
        <f aca="false">Algae_electricity_factor/U186</f>
        <v>0.00122808430954847</v>
      </c>
      <c r="AR186" s="220" t="n">
        <f aca="false">Algae_electricity_factor/V186</f>
        <v>0.00116962793391378</v>
      </c>
      <c r="AS186" s="220" t="n">
        <f aca="false">Algae_electricity_factor/W186</f>
        <v>0.0011303111346868</v>
      </c>
      <c r="AT186" s="220" t="n">
        <f aca="false">Algae_electricity_factor/X186</f>
        <v>0.00110484885118721</v>
      </c>
      <c r="AU186" s="220" t="n">
        <f aca="false">Algae_electricity_factor/Y186</f>
        <v>0.00108876065196275</v>
      </c>
      <c r="AV186" s="220" t="n">
        <f aca="false">Algae_electricity_factor/Z186</f>
        <v>0.00107875327207989</v>
      </c>
      <c r="AW186" s="220" t="n">
        <f aca="false">Algae_electricity_factor/AA186</f>
        <v>0.00107258884373561</v>
      </c>
      <c r="AX186" s="220" t="n">
        <f aca="false">Algae_electricity_factor/AB186</f>
        <v>0.00106881444113615</v>
      </c>
      <c r="AY186" s="220" t="n">
        <f aca="false">Algae_electricity_factor/AC186</f>
        <v>0.00106651194238206</v>
      </c>
      <c r="AZ186" s="221" t="n">
        <f aca="false">Algae_yield_cost_factor/H186</f>
        <v>0.117688591170481</v>
      </c>
      <c r="BA186" s="197" t="n">
        <f aca="false">Algae_yield_cost_factor/I186</f>
        <v>0.117688591170481</v>
      </c>
      <c r="BB186" s="197" t="n">
        <f aca="false">Algae_yield_cost_factor/J186</f>
        <v>0.117688591170481</v>
      </c>
      <c r="BC186" s="197" t="n">
        <f aca="false">Algae_yield_cost_factor/K186</f>
        <v>0.117688591170481</v>
      </c>
      <c r="BD186" s="197" t="n">
        <f aca="false">Algae_yield_cost_factor/L186</f>
        <v>0.117688591170481</v>
      </c>
      <c r="BE186" s="197" t="n">
        <f aca="false">Algae_yield_cost_factor/M186</f>
        <v>0.112359828207652</v>
      </c>
      <c r="BF186" s="197" t="n">
        <f aca="false">Algae_yield_cost_factor/N186</f>
        <v>0.109390432081073</v>
      </c>
      <c r="BG186" s="197" t="n">
        <f aca="false">Algae_yield_cost_factor/O186</f>
        <v>0.105153934871656</v>
      </c>
      <c r="BH186" s="197" t="n">
        <f aca="false">Algae_yield_cost_factor/P186</f>
        <v>0.0995315043535498</v>
      </c>
      <c r="BI186" s="197" t="n">
        <f aca="false">Algae_yield_cost_factor/Q186</f>
        <v>0.0927454878440487</v>
      </c>
      <c r="BJ186" s="197" t="n">
        <f aca="false">Algae_yield_cost_factor/R186</f>
        <v>0.0854338415091293</v>
      </c>
      <c r="BK186" s="197" t="n">
        <f aca="false">Algae_yield_cost_factor/S186</f>
        <v>0.0784590607803205</v>
      </c>
      <c r="BL186" s="197" t="n">
        <f aca="false">Algae_yield_cost_factor/T186</f>
        <v>0.0725371594265489</v>
      </c>
      <c r="BM186" s="197" t="n">
        <f aca="false">Algae_yield_cost_factor/U186</f>
        <v>0.0679864867794491</v>
      </c>
      <c r="BN186" s="197" t="n">
        <f aca="false">Algae_yield_cost_factor/V186</f>
        <v>0.0647503542286442</v>
      </c>
      <c r="BO186" s="197" t="n">
        <f aca="false">Algae_yield_cost_factor/W186</f>
        <v>0.0625737845663884</v>
      </c>
      <c r="BP186" s="197" t="n">
        <f aca="false">Algae_yield_cost_factor/X186</f>
        <v>0.0611641979548993</v>
      </c>
      <c r="BQ186" s="197" t="n">
        <f aca="false">Algae_yield_cost_factor/Y186</f>
        <v>0.0602735586597186</v>
      </c>
      <c r="BR186" s="197" t="n">
        <f aca="false">Algae_yield_cost_factor/Z186</f>
        <v>0.0597195522329503</v>
      </c>
      <c r="BS186" s="197" t="n">
        <f aca="false">Algae_yield_cost_factor/AA186</f>
        <v>0.059378290787891</v>
      </c>
      <c r="BT186" s="197" t="n">
        <f aca="false">Algae_yield_cost_factor/AB186</f>
        <v>0.0591693406609061</v>
      </c>
      <c r="BU186" s="197" t="n">
        <f aca="false">Algae_yield_cost_factor/AC186</f>
        <v>0.0590418748184655</v>
      </c>
    </row>
    <row r="187" customFormat="false" ht="15" hidden="false" customHeight="false" outlineLevel="0" collapsed="false">
      <c r="A187" s="18" t="s">
        <v>717</v>
      </c>
      <c r="B187" s="18" t="s">
        <v>22</v>
      </c>
      <c r="C187" s="18" t="s">
        <v>688</v>
      </c>
      <c r="D187" s="18" t="s">
        <v>688</v>
      </c>
      <c r="E187" s="28" t="n">
        <v>5.581215</v>
      </c>
      <c r="F187" s="185" t="n">
        <f aca="false">E187/$B$2*$F$3/1000</f>
        <v>0.01367397675</v>
      </c>
      <c r="G187" s="18" t="n">
        <f aca="false">LOOKUP(RIGHT(D187,5),Ref!$C$4:$C$21,Ref!$E$4:$E$21)*$G$3</f>
        <v>4.5</v>
      </c>
      <c r="H187" s="218" t="n">
        <f aca="false">$E187</f>
        <v>5.581215</v>
      </c>
      <c r="I187" s="177" t="n">
        <f aca="false">$E187</f>
        <v>5.581215</v>
      </c>
      <c r="J187" s="177" t="n">
        <f aca="false">$E187</f>
        <v>5.581215</v>
      </c>
      <c r="K187" s="177" t="n">
        <f aca="false">$E187</f>
        <v>5.581215</v>
      </c>
      <c r="L187" s="177" t="n">
        <f aca="false">$E187</f>
        <v>5.581215</v>
      </c>
      <c r="M187" s="177" t="n">
        <f aca="false">M$3*$E187</f>
        <v>5.84590899476673</v>
      </c>
      <c r="N187" s="177" t="n">
        <f aca="false">N$3*$E187</f>
        <v>6.00459581220726</v>
      </c>
      <c r="O187" s="177" t="n">
        <f aca="false">O$3*$E187</f>
        <v>6.24651213643367</v>
      </c>
      <c r="P187" s="177" t="n">
        <f aca="false">P$3*$E187</f>
        <v>6.59937106985089</v>
      </c>
      <c r="Q187" s="177" t="n">
        <f aca="false">Q$3*$E187</f>
        <v>7.08223489507154</v>
      </c>
      <c r="R187" s="177" t="n">
        <f aca="false">R$3*$E187</f>
        <v>7.68835064380624</v>
      </c>
      <c r="S187" s="177" t="n">
        <f aca="false">S$3*$E187</f>
        <v>8.3718225</v>
      </c>
      <c r="T187" s="177" t="n">
        <f aca="false">T$3*$E187</f>
        <v>9.05529435619376</v>
      </c>
      <c r="U187" s="177" t="n">
        <f aca="false">U$3*$E187</f>
        <v>9.66141010492846</v>
      </c>
      <c r="V187" s="177" t="n">
        <f aca="false">V$3*$E187</f>
        <v>10.1442739301491</v>
      </c>
      <c r="W187" s="177" t="n">
        <f aca="false">W$3*$E187</f>
        <v>10.4971328635663</v>
      </c>
      <c r="X187" s="177" t="n">
        <f aca="false">X$3*$E187</f>
        <v>10.7390491877927</v>
      </c>
      <c r="Y187" s="177" t="n">
        <f aca="false">Y$3*$E187</f>
        <v>10.8977360052333</v>
      </c>
      <c r="Z187" s="177" t="n">
        <f aca="false">Z$3*$E187</f>
        <v>10.9988321380471</v>
      </c>
      <c r="AA187" s="177" t="n">
        <f aca="false">AA$3*$E187</f>
        <v>11.0620450951664</v>
      </c>
      <c r="AB187" s="177" t="n">
        <f aca="false">AB$3*$E187</f>
        <v>11.101109510986</v>
      </c>
      <c r="AC187" s="177" t="n">
        <f aca="false">AC$3*$E187</f>
        <v>11.1250757600286</v>
      </c>
      <c r="AD187" s="219" t="n">
        <f aca="false">Algae_electricity_factor/H187</f>
        <v>0.00246247404974172</v>
      </c>
      <c r="AE187" s="220" t="n">
        <f aca="false">Algae_electricity_factor/I187</f>
        <v>0.00246247404974172</v>
      </c>
      <c r="AF187" s="220" t="n">
        <f aca="false">Algae_electricity_factor/J187</f>
        <v>0.00246247404974172</v>
      </c>
      <c r="AG187" s="220" t="n">
        <f aca="false">Algae_electricity_factor/K187</f>
        <v>0.00246247404974172</v>
      </c>
      <c r="AH187" s="220" t="n">
        <f aca="false">Algae_electricity_factor/L187</f>
        <v>0.00246247404974172</v>
      </c>
      <c r="AI187" s="220" t="n">
        <f aca="false">Algae_electricity_factor/M187</f>
        <v>0.00235097691664933</v>
      </c>
      <c r="AJ187" s="220" t="n">
        <f aca="false">Algae_electricity_factor/N187</f>
        <v>0.00228884633260222</v>
      </c>
      <c r="AK187" s="220" t="n">
        <f aca="false">Algae_electricity_factor/O187</f>
        <v>0.0022002033780368</v>
      </c>
      <c r="AL187" s="220" t="n">
        <f aca="false">Algae_electricity_factor/P187</f>
        <v>0.00208256164989974</v>
      </c>
      <c r="AM187" s="220" t="n">
        <f aca="false">Algae_electricity_factor/Q187</f>
        <v>0.00194057346404781</v>
      </c>
      <c r="AN187" s="220" t="n">
        <f aca="false">Algae_electricity_factor/R187</f>
        <v>0.00178758718745498</v>
      </c>
      <c r="AO187" s="220" t="n">
        <f aca="false">Algae_electricity_factor/S187</f>
        <v>0.00164164936649448</v>
      </c>
      <c r="AP187" s="220" t="n">
        <f aca="false">Algae_electricity_factor/T187</f>
        <v>0.00151774161754651</v>
      </c>
      <c r="AQ187" s="220" t="n">
        <f aca="false">Algae_electricity_factor/U187</f>
        <v>0.00142252496832925</v>
      </c>
      <c r="AR187" s="220" t="n">
        <f aca="false">Algae_electricity_factor/V187</f>
        <v>0.00135481328660525</v>
      </c>
      <c r="AS187" s="220" t="n">
        <f aca="false">Algae_electricity_factor/W187</f>
        <v>0.00130927152034351</v>
      </c>
      <c r="AT187" s="220" t="n">
        <f aca="false">Algae_electricity_factor/X187</f>
        <v>0.00127977783351173</v>
      </c>
      <c r="AU187" s="220" t="n">
        <f aca="false">Algae_electricity_factor/Y187</f>
        <v>0.00126114241498687</v>
      </c>
      <c r="AV187" s="220" t="n">
        <f aca="false">Algae_electricity_factor/Z187</f>
        <v>0.00124955058237388</v>
      </c>
      <c r="AW187" s="220" t="n">
        <f aca="false">Algae_electricity_factor/AA187</f>
        <v>0.00124241014977733</v>
      </c>
      <c r="AX187" s="220" t="n">
        <f aca="false">Algae_electricity_factor/AB187</f>
        <v>0.00123803815194582</v>
      </c>
      <c r="AY187" s="220" t="n">
        <f aca="false">Algae_electricity_factor/AC187</f>
        <v>0.0012353711021824</v>
      </c>
      <c r="AZ187" s="221" t="n">
        <f aca="false">Algae_yield_cost_factor/H187</f>
        <v>0.136322040861393</v>
      </c>
      <c r="BA187" s="197" t="n">
        <f aca="false">Algae_yield_cost_factor/I187</f>
        <v>0.136322040861393</v>
      </c>
      <c r="BB187" s="197" t="n">
        <f aca="false">Algae_yield_cost_factor/J187</f>
        <v>0.136322040861393</v>
      </c>
      <c r="BC187" s="197" t="n">
        <f aca="false">Algae_yield_cost_factor/K187</f>
        <v>0.136322040861393</v>
      </c>
      <c r="BD187" s="197" t="n">
        <f aca="false">Algae_yield_cost_factor/L187</f>
        <v>0.136322040861393</v>
      </c>
      <c r="BE187" s="197" t="n">
        <f aca="false">Algae_yield_cost_factor/M187</f>
        <v>0.130149583232877</v>
      </c>
      <c r="BF187" s="197" t="n">
        <f aca="false">Algae_yield_cost_factor/N187</f>
        <v>0.126710047284021</v>
      </c>
      <c r="BG187" s="197" t="n">
        <f aca="false">Algae_yield_cost_factor/O187</f>
        <v>0.121802792129146</v>
      </c>
      <c r="BH187" s="197" t="n">
        <f aca="false">Algae_yield_cost_factor/P187</f>
        <v>0.115290171022829</v>
      </c>
      <c r="BI187" s="197" t="n">
        <f aca="false">Algae_yield_cost_factor/Q187</f>
        <v>0.107429735183689</v>
      </c>
      <c r="BJ187" s="197" t="n">
        <f aca="false">Algae_yield_cost_factor/R187</f>
        <v>0.0989604473749067</v>
      </c>
      <c r="BK187" s="197" t="n">
        <f aca="false">Algae_yield_cost_factor/S187</f>
        <v>0.0908813605742618</v>
      </c>
      <c r="BL187" s="197" t="n">
        <f aca="false">Algae_yield_cost_factor/T187</f>
        <v>0.0840218538854904</v>
      </c>
      <c r="BM187" s="197" t="n">
        <f aca="false">Algae_yield_cost_factor/U187</f>
        <v>0.078750680389615</v>
      </c>
      <c r="BN187" s="197" t="n">
        <f aca="false">Algae_yield_cost_factor/V187</f>
        <v>0.0750021760576643</v>
      </c>
      <c r="BO187" s="197" t="n">
        <f aca="false">Algae_yield_cost_factor/W187</f>
        <v>0.0724809935412904</v>
      </c>
      <c r="BP187" s="197" t="n">
        <f aca="false">Algae_yield_cost_factor/X187</f>
        <v>0.0708482292967874</v>
      </c>
      <c r="BQ187" s="197" t="n">
        <f aca="false">Algae_yield_cost_factor/Y187</f>
        <v>0.0698165764816517</v>
      </c>
      <c r="BR187" s="197" t="n">
        <f aca="false">Algae_yield_cost_factor/Z187</f>
        <v>0.0691748550879613</v>
      </c>
      <c r="BS187" s="197" t="n">
        <f aca="false">Algae_yield_cost_factor/AA187</f>
        <v>0.0687795622546024</v>
      </c>
      <c r="BT187" s="197" t="n">
        <f aca="false">Algae_yield_cost_factor/AB187</f>
        <v>0.0685375293823797</v>
      </c>
      <c r="BU187" s="197" t="n">
        <f aca="false">Algae_yield_cost_factor/AC187</f>
        <v>0.0683898820734197</v>
      </c>
    </row>
    <row r="188" customFormat="false" ht="15" hidden="false" customHeight="false" outlineLevel="0" collapsed="false">
      <c r="A188" s="18" t="s">
        <v>718</v>
      </c>
      <c r="B188" s="18" t="s">
        <v>22</v>
      </c>
      <c r="C188" s="18" t="s">
        <v>686</v>
      </c>
      <c r="D188" s="18" t="s">
        <v>686</v>
      </c>
      <c r="E188" s="28" t="n">
        <v>3.898565</v>
      </c>
      <c r="F188" s="185" t="n">
        <f aca="false">E188/$B$2*$F$3/1000</f>
        <v>0.00955148425</v>
      </c>
      <c r="G188" s="18" t="n">
        <f aca="false">LOOKUP(RIGHT(D188,5),Ref!$C$4:$C$21,Ref!$E$4:$E$21)*$G$3</f>
        <v>4.5</v>
      </c>
      <c r="H188" s="218" t="n">
        <f aca="false">$E188</f>
        <v>3.898565</v>
      </c>
      <c r="I188" s="177" t="n">
        <f aca="false">$E188</f>
        <v>3.898565</v>
      </c>
      <c r="J188" s="177" t="n">
        <f aca="false">$E188</f>
        <v>3.898565</v>
      </c>
      <c r="K188" s="177" t="n">
        <f aca="false">$E188</f>
        <v>3.898565</v>
      </c>
      <c r="L188" s="177" t="n">
        <f aca="false">$E188</f>
        <v>3.898565</v>
      </c>
      <c r="M188" s="177" t="n">
        <f aca="false">M$3*$E188</f>
        <v>4.0834578492645</v>
      </c>
      <c r="N188" s="177" t="n">
        <f aca="false">N$3*$E188</f>
        <v>4.19430304559452</v>
      </c>
      <c r="O188" s="177" t="n">
        <f aca="false">O$3*$E188</f>
        <v>4.36328533969316</v>
      </c>
      <c r="P188" s="177" t="n">
        <f aca="false">P$3*$E188</f>
        <v>4.60976276221813</v>
      </c>
      <c r="Q188" s="177" t="n">
        <f aca="false">Q$3*$E188</f>
        <v>4.94705061240332</v>
      </c>
      <c r="R188" s="177" t="n">
        <f aca="false">R$3*$E188</f>
        <v>5.37043183745304</v>
      </c>
      <c r="S188" s="177" t="n">
        <f aca="false">S$3*$E188</f>
        <v>5.8478475</v>
      </c>
      <c r="T188" s="177" t="n">
        <f aca="false">T$3*$E188</f>
        <v>6.32526316254696</v>
      </c>
      <c r="U188" s="177" t="n">
        <f aca="false">U$3*$E188</f>
        <v>6.74864438759669</v>
      </c>
      <c r="V188" s="177" t="n">
        <f aca="false">V$3*$E188</f>
        <v>7.08593223778187</v>
      </c>
      <c r="W188" s="177" t="n">
        <f aca="false">W$3*$E188</f>
        <v>7.33240966030684</v>
      </c>
      <c r="X188" s="177" t="n">
        <f aca="false">X$3*$E188</f>
        <v>7.50139195440548</v>
      </c>
      <c r="Y188" s="177" t="n">
        <f aca="false">Y$3*$E188</f>
        <v>7.6122371507355</v>
      </c>
      <c r="Z188" s="177" t="n">
        <f aca="false">Z$3*$E188</f>
        <v>7.68285436312084</v>
      </c>
      <c r="AA188" s="177" t="n">
        <f aca="false">AA$3*$E188</f>
        <v>7.72700959135914</v>
      </c>
      <c r="AB188" s="177" t="n">
        <f aca="false">AB$3*$E188</f>
        <v>7.75429669000336</v>
      </c>
      <c r="AC188" s="177" t="n">
        <f aca="false">AC$3*$E188</f>
        <v>7.77103748563637</v>
      </c>
      <c r="AD188" s="219" t="n">
        <f aca="false">Algae_electricity_factor/H188</f>
        <v>0.00352529638560067</v>
      </c>
      <c r="AE188" s="220" t="n">
        <f aca="false">Algae_electricity_factor/I188</f>
        <v>0.00352529638560067</v>
      </c>
      <c r="AF188" s="220" t="n">
        <f aca="false">Algae_electricity_factor/J188</f>
        <v>0.00352529638560067</v>
      </c>
      <c r="AG188" s="220" t="n">
        <f aca="false">Algae_electricity_factor/K188</f>
        <v>0.00352529638560067</v>
      </c>
      <c r="AH188" s="220" t="n">
        <f aca="false">Algae_electricity_factor/L188</f>
        <v>0.00352529638560067</v>
      </c>
      <c r="AI188" s="220" t="n">
        <f aca="false">Algae_electricity_factor/M188</f>
        <v>0.00336567625058373</v>
      </c>
      <c r="AJ188" s="220" t="n">
        <f aca="false">Algae_electricity_factor/N188</f>
        <v>0.00327672963878107</v>
      </c>
      <c r="AK188" s="220" t="n">
        <f aca="false">Algae_electricity_factor/O188</f>
        <v>0.00314982771777556</v>
      </c>
      <c r="AL188" s="220" t="n">
        <f aca="false">Algae_electricity_factor/P188</f>
        <v>0.00298141093423995</v>
      </c>
      <c r="AM188" s="220" t="n">
        <f aca="false">Algae_electricity_factor/Q188</f>
        <v>0.00277813957857458</v>
      </c>
      <c r="AN188" s="220" t="n">
        <f aca="false">Algae_electricity_factor/R188</f>
        <v>0.00255912327341766</v>
      </c>
      <c r="AO188" s="220" t="n">
        <f aca="false">Algae_electricity_factor/S188</f>
        <v>0.00235019759040044</v>
      </c>
      <c r="AP188" s="220" t="n">
        <f aca="false">Algae_electricity_factor/T188</f>
        <v>0.00217281032430518</v>
      </c>
      <c r="AQ188" s="220" t="n">
        <f aca="false">Algae_electricity_factor/U188</f>
        <v>0.00203649745255337</v>
      </c>
      <c r="AR188" s="220" t="n">
        <f aca="false">Algae_electricity_factor/V188</f>
        <v>0.00193956089930539</v>
      </c>
      <c r="AS188" s="220" t="n">
        <f aca="false">Algae_electricity_factor/W188</f>
        <v>0.00187436296391467</v>
      </c>
      <c r="AT188" s="220" t="n">
        <f aca="false">Algae_electricity_factor/X188</f>
        <v>0.00183213957983595</v>
      </c>
      <c r="AU188" s="220" t="n">
        <f aca="false">Algae_electricity_factor/Y188</f>
        <v>0.0018054609743998</v>
      </c>
      <c r="AV188" s="220" t="n">
        <f aca="false">Algae_electricity_factor/Z188</f>
        <v>0.00178886601957485</v>
      </c>
      <c r="AW188" s="220" t="n">
        <f aca="false">Algae_electricity_factor/AA188</f>
        <v>0.00177864372252084</v>
      </c>
      <c r="AX188" s="220" t="n">
        <f aca="false">Algae_electricity_factor/AB188</f>
        <v>0.00177238473751554</v>
      </c>
      <c r="AY188" s="220" t="n">
        <f aca="false">Algae_electricity_factor/AC188</f>
        <v>0.00176856656899832</v>
      </c>
      <c r="AZ188" s="221" t="n">
        <f aca="false">Algae_yield_cost_factor/H188</f>
        <v>0.195159659845666</v>
      </c>
      <c r="BA188" s="197" t="n">
        <f aca="false">Algae_yield_cost_factor/I188</f>
        <v>0.195159659845666</v>
      </c>
      <c r="BB188" s="197" t="n">
        <f aca="false">Algae_yield_cost_factor/J188</f>
        <v>0.195159659845666</v>
      </c>
      <c r="BC188" s="197" t="n">
        <f aca="false">Algae_yield_cost_factor/K188</f>
        <v>0.195159659845666</v>
      </c>
      <c r="BD188" s="197" t="n">
        <f aca="false">Algae_yield_cost_factor/L188</f>
        <v>0.195159659845666</v>
      </c>
      <c r="BE188" s="197" t="n">
        <f aca="false">Algae_yield_cost_factor/M188</f>
        <v>0.186323123042217</v>
      </c>
      <c r="BF188" s="197" t="n">
        <f aca="false">Algae_yield_cost_factor/N188</f>
        <v>0.181399057487124</v>
      </c>
      <c r="BG188" s="197" t="n">
        <f aca="false">Algae_yield_cost_factor/O188</f>
        <v>0.174373794068605</v>
      </c>
      <c r="BH188" s="197" t="n">
        <f aca="false">Algae_yield_cost_factor/P188</f>
        <v>0.165050276669794</v>
      </c>
      <c r="BI188" s="197" t="n">
        <f aca="false">Algae_yield_cost_factor/Q188</f>
        <v>0.153797217553955</v>
      </c>
      <c r="BJ188" s="197" t="n">
        <f aca="false">Algae_yield_cost_factor/R188</f>
        <v>0.141672521375311</v>
      </c>
      <c r="BK188" s="197" t="n">
        <f aca="false">Algae_yield_cost_factor/S188</f>
        <v>0.13010643989711</v>
      </c>
      <c r="BL188" s="197" t="n">
        <f aca="false">Algae_yield_cost_factor/T188</f>
        <v>0.120286318487317</v>
      </c>
      <c r="BM188" s="197" t="n">
        <f aca="false">Algae_yield_cost_factor/U188</f>
        <v>0.112740066832469</v>
      </c>
      <c r="BN188" s="197" t="n">
        <f aca="false">Algae_yield_cost_factor/V188</f>
        <v>0.107373679814413</v>
      </c>
      <c r="BO188" s="197" t="n">
        <f aca="false">Algae_yield_cost_factor/W188</f>
        <v>0.10376433594606</v>
      </c>
      <c r="BP188" s="197" t="n">
        <f aca="false">Algae_yield_cost_factor/X188</f>
        <v>0.101426858363185</v>
      </c>
      <c r="BQ188" s="197" t="n">
        <f aca="false">Algae_yield_cost_factor/Y188</f>
        <v>0.0999499364273884</v>
      </c>
      <c r="BR188" s="197" t="n">
        <f aca="false">Algae_yield_cost_factor/Z188</f>
        <v>0.0990312432496973</v>
      </c>
      <c r="BS188" s="197" t="n">
        <f aca="false">Algae_yield_cost_factor/AA188</f>
        <v>0.0984653390539392</v>
      </c>
      <c r="BT188" s="197" t="n">
        <f aca="false">Algae_yield_cost_factor/AB188</f>
        <v>0.0981188429721907</v>
      </c>
      <c r="BU188" s="197" t="n">
        <f aca="false">Algae_yield_cost_factor/AC188</f>
        <v>0.0979074699732854</v>
      </c>
    </row>
    <row r="189" customFormat="false" ht="15" hidden="false" customHeight="false" outlineLevel="0" collapsed="false">
      <c r="A189" s="18" t="s">
        <v>718</v>
      </c>
      <c r="B189" s="18" t="s">
        <v>22</v>
      </c>
      <c r="C189" s="18" t="s">
        <v>687</v>
      </c>
      <c r="D189" s="18" t="s">
        <v>687</v>
      </c>
      <c r="E189" s="28" t="n">
        <v>4.126325</v>
      </c>
      <c r="F189" s="185" t="n">
        <f aca="false">E189/$B$2*$F$3/1000</f>
        <v>0.01010949625</v>
      </c>
      <c r="G189" s="18" t="n">
        <f aca="false">LOOKUP(RIGHT(D189,5),Ref!$C$4:$C$21,Ref!$E$4:$E$21)*$G$3</f>
        <v>4.5</v>
      </c>
      <c r="H189" s="218" t="n">
        <f aca="false">$E189</f>
        <v>4.126325</v>
      </c>
      <c r="I189" s="177" t="n">
        <f aca="false">$E189</f>
        <v>4.126325</v>
      </c>
      <c r="J189" s="177" t="n">
        <f aca="false">$E189</f>
        <v>4.126325</v>
      </c>
      <c r="K189" s="177" t="n">
        <f aca="false">$E189</f>
        <v>4.126325</v>
      </c>
      <c r="L189" s="177" t="n">
        <f aca="false">$E189</f>
        <v>4.126325</v>
      </c>
      <c r="M189" s="177" t="n">
        <f aca="false">M$3*$E189</f>
        <v>4.32201956613942</v>
      </c>
      <c r="N189" s="177" t="n">
        <f aca="false">N$3*$E189</f>
        <v>4.43934050467616</v>
      </c>
      <c r="O189" s="177" t="n">
        <f aca="false">O$3*$E189</f>
        <v>4.61819499721291</v>
      </c>
      <c r="P189" s="177" t="n">
        <f aca="false">P$3*$E189</f>
        <v>4.87907199952026</v>
      </c>
      <c r="Q189" s="177" t="n">
        <f aca="false">Q$3*$E189</f>
        <v>5.23606471053455</v>
      </c>
      <c r="R189" s="177" t="n">
        <f aca="false">R$3*$E189</f>
        <v>5.68418050017851</v>
      </c>
      <c r="S189" s="177" t="n">
        <f aca="false">S$3*$E189</f>
        <v>6.1894875</v>
      </c>
      <c r="T189" s="177" t="n">
        <f aca="false">T$3*$E189</f>
        <v>6.69479449982149</v>
      </c>
      <c r="U189" s="177" t="n">
        <f aca="false">U$3*$E189</f>
        <v>7.14291028946545</v>
      </c>
      <c r="V189" s="177" t="n">
        <f aca="false">V$3*$E189</f>
        <v>7.49990300047974</v>
      </c>
      <c r="W189" s="177" t="n">
        <f aca="false">W$3*$E189</f>
        <v>7.76078000278708</v>
      </c>
      <c r="X189" s="177" t="n">
        <f aca="false">X$3*$E189</f>
        <v>7.93963449532384</v>
      </c>
      <c r="Y189" s="177" t="n">
        <f aca="false">Y$3*$E189</f>
        <v>8.05695543386058</v>
      </c>
      <c r="Z189" s="177" t="n">
        <f aca="false">Z$3*$E189</f>
        <v>8.13169820944491</v>
      </c>
      <c r="AA189" s="177" t="n">
        <f aca="false">AA$3*$E189</f>
        <v>8.17843305217817</v>
      </c>
      <c r="AB189" s="177" t="n">
        <f aca="false">AB$3*$E189</f>
        <v>8.20731430394982</v>
      </c>
      <c r="AC189" s="177" t="n">
        <f aca="false">AC$3*$E189</f>
        <v>8.22503312190985</v>
      </c>
      <c r="AD189" s="219" t="n">
        <f aca="false">Algae_electricity_factor/H189</f>
        <v>0.00333071125118096</v>
      </c>
      <c r="AE189" s="220" t="n">
        <f aca="false">Algae_electricity_factor/I189</f>
        <v>0.00333071125118096</v>
      </c>
      <c r="AF189" s="220" t="n">
        <f aca="false">Algae_electricity_factor/J189</f>
        <v>0.00333071125118096</v>
      </c>
      <c r="AG189" s="220" t="n">
        <f aca="false">Algae_electricity_factor/K189</f>
        <v>0.00333071125118096</v>
      </c>
      <c r="AH189" s="220" t="n">
        <f aca="false">Algae_electricity_factor/L189</f>
        <v>0.00333071125118096</v>
      </c>
      <c r="AI189" s="220" t="n">
        <f aca="false">Algae_electricity_factor/M189</f>
        <v>0.00317990163931755</v>
      </c>
      <c r="AJ189" s="220" t="n">
        <f aca="false">Algae_electricity_factor/N189</f>
        <v>0.00309586459724198</v>
      </c>
      <c r="AK189" s="220" t="n">
        <f aca="false">Algae_electricity_factor/O189</f>
        <v>0.00297596725816548</v>
      </c>
      <c r="AL189" s="220" t="n">
        <f aca="false">Algae_electricity_factor/P189</f>
        <v>0.00281684654476929</v>
      </c>
      <c r="AM189" s="220" t="n">
        <f aca="false">Algae_electricity_factor/Q189</f>
        <v>0.00262479512063291</v>
      </c>
      <c r="AN189" s="220" t="n">
        <f aca="false">Algae_electricity_factor/R189</f>
        <v>0.0024178678180782</v>
      </c>
      <c r="AO189" s="220" t="n">
        <f aca="false">Algae_electricity_factor/S189</f>
        <v>0.00222047416745397</v>
      </c>
      <c r="AP189" s="220" t="n">
        <f aca="false">Algae_electricity_factor/T189</f>
        <v>0.00205287811356954</v>
      </c>
      <c r="AQ189" s="220" t="n">
        <f aca="false">Algae_electricity_factor/U189</f>
        <v>0.0019240892782594</v>
      </c>
      <c r="AR189" s="220" t="n">
        <f aca="false">Algae_electricity_factor/V189</f>
        <v>0.00183250331406288</v>
      </c>
      <c r="AS189" s="220" t="n">
        <f aca="false">Algae_electricity_factor/W189</f>
        <v>0.00177090409708736</v>
      </c>
      <c r="AT189" s="220" t="n">
        <f aca="false">Algae_electricity_factor/X189</f>
        <v>0.00173101130935231</v>
      </c>
      <c r="AU189" s="220" t="n">
        <f aca="false">Algae_electricity_factor/Y189</f>
        <v>0.00170580527798003</v>
      </c>
      <c r="AV189" s="220" t="n">
        <f aca="false">Algae_electricity_factor/Z189</f>
        <v>0.00169012631181592</v>
      </c>
      <c r="AW189" s="220" t="n">
        <f aca="false">Algae_electricity_factor/AA189</f>
        <v>0.00168046825300709</v>
      </c>
      <c r="AX189" s="220" t="n">
        <f aca="false">Algae_electricity_factor/AB189</f>
        <v>0.00167455474404277</v>
      </c>
      <c r="AY189" s="220" t="n">
        <f aca="false">Algae_electricity_factor/AC189</f>
        <v>0.001670947326269</v>
      </c>
      <c r="AZ189" s="221" t="n">
        <f aca="false">Algae_yield_cost_factor/H189</f>
        <v>0.184387468094786</v>
      </c>
      <c r="BA189" s="197" t="n">
        <f aca="false">Algae_yield_cost_factor/I189</f>
        <v>0.184387468094786</v>
      </c>
      <c r="BB189" s="197" t="n">
        <f aca="false">Algae_yield_cost_factor/J189</f>
        <v>0.184387468094786</v>
      </c>
      <c r="BC189" s="197" t="n">
        <f aca="false">Algae_yield_cost_factor/K189</f>
        <v>0.184387468094786</v>
      </c>
      <c r="BD189" s="197" t="n">
        <f aca="false">Algae_yield_cost_factor/L189</f>
        <v>0.184387468094786</v>
      </c>
      <c r="BE189" s="197" t="n">
        <f aca="false">Algae_yield_cost_factor/M189</f>
        <v>0.17603867998354</v>
      </c>
      <c r="BF189" s="197" t="n">
        <f aca="false">Algae_yield_cost_factor/N189</f>
        <v>0.171386407166738</v>
      </c>
      <c r="BG189" s="197" t="n">
        <f aca="false">Algae_yield_cost_factor/O189</f>
        <v>0.16474891591745</v>
      </c>
      <c r="BH189" s="197" t="n">
        <f aca="false">Algae_yield_cost_factor/P189</f>
        <v>0.15594002698895</v>
      </c>
      <c r="BI189" s="197" t="n">
        <f aca="false">Algae_yield_cost_factor/Q189</f>
        <v>0.145308100901706</v>
      </c>
      <c r="BJ189" s="197" t="n">
        <f aca="false">Algae_yield_cost_factor/R189</f>
        <v>0.133852649341857</v>
      </c>
      <c r="BK189" s="197" t="n">
        <f aca="false">Algae_yield_cost_factor/S189</f>
        <v>0.122924978729857</v>
      </c>
      <c r="BL189" s="197" t="n">
        <f aca="false">Algae_yield_cost_factor/T189</f>
        <v>0.113646896750379</v>
      </c>
      <c r="BM189" s="197" t="n">
        <f aca="false">Algae_yield_cost_factor/U189</f>
        <v>0.106517174156356</v>
      </c>
      <c r="BN189" s="197" t="n">
        <f aca="false">Algae_yield_cost_factor/V189</f>
        <v>0.101446994612804</v>
      </c>
      <c r="BO189" s="197" t="n">
        <f aca="false">Algae_yield_cost_factor/W189</f>
        <v>0.0980368750322752</v>
      </c>
      <c r="BP189" s="197" t="n">
        <f aca="false">Algae_yield_cost_factor/X189</f>
        <v>0.0958284187684366</v>
      </c>
      <c r="BQ189" s="197" t="n">
        <f aca="false">Algae_yield_cost_factor/Y189</f>
        <v>0.0944330182203393</v>
      </c>
      <c r="BR189" s="197" t="n">
        <f aca="false">Algae_yield_cost_factor/Z189</f>
        <v>0.093565033980541</v>
      </c>
      <c r="BS189" s="197" t="n">
        <f aca="false">Algae_yield_cost_factor/AA189</f>
        <v>0.0930303658943056</v>
      </c>
      <c r="BT189" s="197" t="n">
        <f aca="false">Algae_yield_cost_factor/AB189</f>
        <v>0.0927029952928765</v>
      </c>
      <c r="BU189" s="197" t="n">
        <f aca="false">Algae_yield_cost_factor/AC189</f>
        <v>0.0925032894104079</v>
      </c>
    </row>
    <row r="190" customFormat="false" ht="15" hidden="false" customHeight="false" outlineLevel="0" collapsed="false">
      <c r="A190" s="18" t="s">
        <v>719</v>
      </c>
      <c r="B190" s="18" t="s">
        <v>22</v>
      </c>
      <c r="C190" s="18" t="s">
        <v>693</v>
      </c>
      <c r="D190" s="18" t="s">
        <v>693</v>
      </c>
      <c r="E190" s="28" t="n">
        <v>5.0098075</v>
      </c>
      <c r="F190" s="185" t="n">
        <f aca="false">E190/$B$2*$F$3/1000</f>
        <v>0.012274028375</v>
      </c>
      <c r="G190" s="18" t="n">
        <f aca="false">LOOKUP(RIGHT(D190,5),Ref!$C$4:$C$21,Ref!$E$4:$E$21)*$G$3</f>
        <v>3</v>
      </c>
      <c r="H190" s="218" t="n">
        <f aca="false">$E190</f>
        <v>5.0098075</v>
      </c>
      <c r="I190" s="177" t="n">
        <f aca="false">$E190</f>
        <v>5.0098075</v>
      </c>
      <c r="J190" s="177" t="n">
        <f aca="false">$E190</f>
        <v>5.0098075</v>
      </c>
      <c r="K190" s="177" t="n">
        <f aca="false">$E190</f>
        <v>5.0098075</v>
      </c>
      <c r="L190" s="177" t="n">
        <f aca="false">$E190</f>
        <v>5.0098075</v>
      </c>
      <c r="M190" s="177" t="n">
        <f aca="false">M$3*$E190</f>
        <v>5.24740199513902</v>
      </c>
      <c r="N190" s="177" t="n">
        <f aca="false">N$3*$E190</f>
        <v>5.38984237920678</v>
      </c>
      <c r="O190" s="177" t="n">
        <f aca="false">O$3*$E190</f>
        <v>5.60699119276832</v>
      </c>
      <c r="P190" s="177" t="n">
        <f aca="false">P$3*$E190</f>
        <v>5.92372425735651</v>
      </c>
      <c r="Q190" s="177" t="n">
        <f aca="false">Q$3*$E190</f>
        <v>6.35715224984006</v>
      </c>
      <c r="R190" s="177" t="n">
        <f aca="false">R$3*$E190</f>
        <v>6.90121357409997</v>
      </c>
      <c r="S190" s="177" t="n">
        <f aca="false">S$3*$E190</f>
        <v>7.51471125</v>
      </c>
      <c r="T190" s="177" t="n">
        <f aca="false">T$3*$E190</f>
        <v>8.12820892590004</v>
      </c>
      <c r="U190" s="177" t="n">
        <f aca="false">U$3*$E190</f>
        <v>8.67227025015994</v>
      </c>
      <c r="V190" s="177" t="n">
        <f aca="false">V$3*$E190</f>
        <v>9.10569824264349</v>
      </c>
      <c r="W190" s="177" t="n">
        <f aca="false">W$3*$E190</f>
        <v>9.42243130723168</v>
      </c>
      <c r="X190" s="177" t="n">
        <f aca="false">X$3*$E190</f>
        <v>9.63958012079323</v>
      </c>
      <c r="Y190" s="177" t="n">
        <f aca="false">Y$3*$E190</f>
        <v>9.78202050486098</v>
      </c>
      <c r="Z190" s="177" t="n">
        <f aca="false">Z$3*$E190</f>
        <v>9.87276636654013</v>
      </c>
      <c r="AA190" s="177" t="n">
        <f aca="false">AA$3*$E190</f>
        <v>9.92950755043534</v>
      </c>
      <c r="AB190" s="177" t="n">
        <f aca="false">AB$3*$E190</f>
        <v>9.96457253240719</v>
      </c>
      <c r="AC190" s="177" t="n">
        <f aca="false">AC$3*$E190</f>
        <v>9.98608510524314</v>
      </c>
      <c r="AD190" s="219" t="n">
        <f aca="false">Algae_electricity_factor/H190</f>
        <v>0.00274333836250779</v>
      </c>
      <c r="AE190" s="220" t="n">
        <f aca="false">Algae_electricity_factor/I190</f>
        <v>0.00274333836250779</v>
      </c>
      <c r="AF190" s="220" t="n">
        <f aca="false">Algae_electricity_factor/J190</f>
        <v>0.00274333836250779</v>
      </c>
      <c r="AG190" s="220" t="n">
        <f aca="false">Algae_electricity_factor/K190</f>
        <v>0.00274333836250779</v>
      </c>
      <c r="AH190" s="220" t="n">
        <f aca="false">Algae_electricity_factor/L190</f>
        <v>0.00274333836250779</v>
      </c>
      <c r="AI190" s="220" t="n">
        <f aca="false">Algae_electricity_factor/M190</f>
        <v>0.00261912411442096</v>
      </c>
      <c r="AJ190" s="220" t="n">
        <f aca="false">Algae_electricity_factor/N190</f>
        <v>0.00254990705415618</v>
      </c>
      <c r="AK190" s="220" t="n">
        <f aca="false">Algae_electricity_factor/O190</f>
        <v>0.00245115368136394</v>
      </c>
      <c r="AL190" s="220" t="n">
        <f aca="false">Algae_electricity_factor/P190</f>
        <v>0.00232009399938923</v>
      </c>
      <c r="AM190" s="220" t="n">
        <f aca="false">Algae_electricity_factor/Q190</f>
        <v>0.00216191095688719</v>
      </c>
      <c r="AN190" s="220" t="n">
        <f aca="false">Algae_electricity_factor/R190</f>
        <v>0.00199147540587768</v>
      </c>
      <c r="AO190" s="220" t="n">
        <f aca="false">Algae_electricity_factor/S190</f>
        <v>0.00182889224167186</v>
      </c>
      <c r="AP190" s="220" t="n">
        <f aca="false">Algae_electricity_factor/T190</f>
        <v>0.00169085185049023</v>
      </c>
      <c r="AQ190" s="220" t="n">
        <f aca="false">Algae_electricity_factor/U190</f>
        <v>0.00158477500205621</v>
      </c>
      <c r="AR190" s="220" t="n">
        <f aca="false">Algae_electricity_factor/V190</f>
        <v>0.00150934027652769</v>
      </c>
      <c r="AS190" s="220" t="n">
        <f aca="false">Algae_electricity_factor/W190</f>
        <v>0.00145860411770592</v>
      </c>
      <c r="AT190" s="220" t="n">
        <f aca="false">Algae_electricity_factor/X190</f>
        <v>0.00142574644655771</v>
      </c>
      <c r="AU190" s="220" t="n">
        <f aca="false">Algae_electricity_factor/Y190</f>
        <v>0.00140498551364717</v>
      </c>
      <c r="AV190" s="220" t="n">
        <f aca="false">Algae_electricity_factor/Z190</f>
        <v>0.00139207154239037</v>
      </c>
      <c r="AW190" s="220" t="n">
        <f aca="false">Algae_electricity_factor/AA190</f>
        <v>0.00138411668793451</v>
      </c>
      <c r="AX190" s="220" t="n">
        <f aca="false">Algae_electricity_factor/AB190</f>
        <v>0.00137924602975509</v>
      </c>
      <c r="AY190" s="220" t="n">
        <f aca="false">Algae_electricity_factor/AC190</f>
        <v>0.00137627478222805</v>
      </c>
      <c r="AZ190" s="221" t="n">
        <f aca="false">Algae_yield_cost_factor/H190</f>
        <v>0.151870629617249</v>
      </c>
      <c r="BA190" s="197" t="n">
        <f aca="false">Algae_yield_cost_factor/I190</f>
        <v>0.151870629617249</v>
      </c>
      <c r="BB190" s="197" t="n">
        <f aca="false">Algae_yield_cost_factor/J190</f>
        <v>0.151870629617249</v>
      </c>
      <c r="BC190" s="197" t="n">
        <f aca="false">Algae_yield_cost_factor/K190</f>
        <v>0.151870629617249</v>
      </c>
      <c r="BD190" s="197" t="n">
        <f aca="false">Algae_yield_cost_factor/L190</f>
        <v>0.151870629617249</v>
      </c>
      <c r="BE190" s="197" t="n">
        <f aca="false">Algae_yield_cost_factor/M190</f>
        <v>0.144994155201189</v>
      </c>
      <c r="BF190" s="197" t="n">
        <f aca="false">Algae_yield_cost_factor/N190</f>
        <v>0.141162313432659</v>
      </c>
      <c r="BG190" s="197" t="n">
        <f aca="false">Algae_yield_cost_factor/O190</f>
        <v>0.135695347670159</v>
      </c>
      <c r="BH190" s="197" t="n">
        <f aca="false">Algae_yield_cost_factor/P190</f>
        <v>0.128439911486654</v>
      </c>
      <c r="BI190" s="197" t="n">
        <f aca="false">Algae_yield_cost_factor/Q190</f>
        <v>0.119682931819882</v>
      </c>
      <c r="BJ190" s="197" t="n">
        <f aca="false">Algae_yield_cost_factor/R190</f>
        <v>0.110247655882095</v>
      </c>
      <c r="BK190" s="197" t="n">
        <f aca="false">Algae_yield_cost_factor/S190</f>
        <v>0.1012470864115</v>
      </c>
      <c r="BL190" s="197" t="n">
        <f aca="false">Algae_yield_cost_factor/T190</f>
        <v>0.0936051996475927</v>
      </c>
      <c r="BM190" s="197" t="n">
        <f aca="false">Algae_yield_cost_factor/U190</f>
        <v>0.0877328078275912</v>
      </c>
      <c r="BN190" s="197" t="n">
        <f aca="false">Algae_yield_cost_factor/V190</f>
        <v>0.0835567574294376</v>
      </c>
      <c r="BO190" s="197" t="n">
        <f aca="false">Algae_yield_cost_factor/W190</f>
        <v>0.0807480144431803</v>
      </c>
      <c r="BP190" s="197" t="n">
        <f aca="false">Algae_yield_cost_factor/X190</f>
        <v>0.0789290207407508</v>
      </c>
      <c r="BQ190" s="197" t="n">
        <f aca="false">Algae_yield_cost_factor/Y190</f>
        <v>0.077779699900254</v>
      </c>
      <c r="BR190" s="197" t="n">
        <f aca="false">Algae_yield_cost_factor/Z190</f>
        <v>0.0770647851917975</v>
      </c>
      <c r="BS190" s="197" t="n">
        <f aca="false">Algae_yield_cost_factor/AA190</f>
        <v>0.0766244061371261</v>
      </c>
      <c r="BT190" s="197" t="n">
        <f aca="false">Algae_yield_cost_factor/AB190</f>
        <v>0.076354767533858</v>
      </c>
      <c r="BU190" s="197" t="n">
        <f aca="false">Algae_yield_cost_factor/AC190</f>
        <v>0.076190279901254</v>
      </c>
    </row>
    <row r="191" customFormat="false" ht="15" hidden="false" customHeight="false" outlineLevel="0" collapsed="false">
      <c r="A191" s="18" t="s">
        <v>719</v>
      </c>
      <c r="B191" s="18" t="s">
        <v>22</v>
      </c>
      <c r="C191" s="18" t="s">
        <v>694</v>
      </c>
      <c r="D191" s="18" t="s">
        <v>694</v>
      </c>
      <c r="E191" s="28" t="n">
        <v>5.7963825</v>
      </c>
      <c r="F191" s="185" t="n">
        <f aca="false">E191/$B$2*$F$3/1000</f>
        <v>0.014201137125</v>
      </c>
      <c r="G191" s="18" t="n">
        <f aca="false">LOOKUP(RIGHT(D191,5),Ref!$C$4:$C$21,Ref!$E$4:$E$21)*$G$3</f>
        <v>3</v>
      </c>
      <c r="H191" s="218" t="n">
        <f aca="false">$E191</f>
        <v>5.7963825</v>
      </c>
      <c r="I191" s="177" t="n">
        <f aca="false">$E191</f>
        <v>5.7963825</v>
      </c>
      <c r="J191" s="177" t="n">
        <f aca="false">$E191</f>
        <v>5.7963825</v>
      </c>
      <c r="K191" s="177" t="n">
        <f aca="false">$E191</f>
        <v>5.7963825</v>
      </c>
      <c r="L191" s="177" t="n">
        <f aca="false">$E191</f>
        <v>5.7963825</v>
      </c>
      <c r="M191" s="177" t="n">
        <f aca="false">M$3*$E191</f>
        <v>6.07128100133367</v>
      </c>
      <c r="N191" s="177" t="n">
        <f aca="false">N$3*$E191</f>
        <v>6.23608552715699</v>
      </c>
      <c r="O191" s="177" t="n">
        <f aca="false">O$3*$E191</f>
        <v>6.48732823115787</v>
      </c>
      <c r="P191" s="177" t="n">
        <f aca="false">P$3*$E191</f>
        <v>6.8537906137445</v>
      </c>
      <c r="Q191" s="177" t="n">
        <f aca="false">Q$3*$E191</f>
        <v>7.35526984835417</v>
      </c>
      <c r="R191" s="177" t="n">
        <f aca="false">R$3*$E191</f>
        <v>7.98475262565987</v>
      </c>
      <c r="S191" s="177" t="n">
        <f aca="false">S$3*$E191</f>
        <v>8.69457375</v>
      </c>
      <c r="T191" s="177" t="n">
        <f aca="false">T$3*$E191</f>
        <v>9.40439487434013</v>
      </c>
      <c r="U191" s="177" t="n">
        <f aca="false">U$3*$E191</f>
        <v>10.0338776516458</v>
      </c>
      <c r="V191" s="177" t="n">
        <f aca="false">V$3*$E191</f>
        <v>10.5353568862555</v>
      </c>
      <c r="W191" s="177" t="n">
        <f aca="false">W$3*$E191</f>
        <v>10.9018192688421</v>
      </c>
      <c r="X191" s="177" t="n">
        <f aca="false">X$3*$E191</f>
        <v>11.153061972843</v>
      </c>
      <c r="Y191" s="177" t="n">
        <f aca="false">Y$3*$E191</f>
        <v>11.3178664986663</v>
      </c>
      <c r="Z191" s="177" t="n">
        <f aca="false">Z$3*$E191</f>
        <v>11.4228600986369</v>
      </c>
      <c r="AA191" s="177" t="n">
        <f aca="false">AA$3*$E191</f>
        <v>11.4885100473344</v>
      </c>
      <c r="AB191" s="177" t="n">
        <f aca="false">AB$3*$E191</f>
        <v>11.5290804780075</v>
      </c>
      <c r="AC191" s="177" t="n">
        <f aca="false">AC$3*$E191</f>
        <v>11.5539706760274</v>
      </c>
      <c r="AD191" s="219" t="n">
        <f aca="false">Algae_electricity_factor/H191</f>
        <v>0.0023710645568213</v>
      </c>
      <c r="AE191" s="220" t="n">
        <f aca="false">Algae_electricity_factor/I191</f>
        <v>0.0023710645568213</v>
      </c>
      <c r="AF191" s="220" t="n">
        <f aca="false">Algae_electricity_factor/J191</f>
        <v>0.0023710645568213</v>
      </c>
      <c r="AG191" s="220" t="n">
        <f aca="false">Algae_electricity_factor/K191</f>
        <v>0.0023710645568213</v>
      </c>
      <c r="AH191" s="220" t="n">
        <f aca="false">Algae_electricity_factor/L191</f>
        <v>0.0023710645568213</v>
      </c>
      <c r="AI191" s="220" t="n">
        <f aca="false">Algae_electricity_factor/M191</f>
        <v>0.00226370630852208</v>
      </c>
      <c r="AJ191" s="220" t="n">
        <f aca="false">Algae_electricity_factor/N191</f>
        <v>0.00220388207372693</v>
      </c>
      <c r="AK191" s="220" t="n">
        <f aca="false">Algae_electricity_factor/O191</f>
        <v>0.00211852963405187</v>
      </c>
      <c r="AL191" s="220" t="n">
        <f aca="false">Algae_electricity_factor/P191</f>
        <v>0.00200525488420496</v>
      </c>
      <c r="AM191" s="220" t="n">
        <f aca="false">Algae_electricity_factor/Q191</f>
        <v>0.00186853744143793</v>
      </c>
      <c r="AN191" s="220" t="n">
        <f aca="false">Algae_electricity_factor/R191</f>
        <v>0.00172123016802834</v>
      </c>
      <c r="AO191" s="220" t="n">
        <f aca="false">Algae_electricity_factor/S191</f>
        <v>0.00158070970454754</v>
      </c>
      <c r="AP191" s="220" t="n">
        <f aca="false">Algae_electricity_factor/T191</f>
        <v>0.00146140153483225</v>
      </c>
      <c r="AQ191" s="220" t="n">
        <f aca="false">Algae_electricity_factor/U191</f>
        <v>0.00136971942260776</v>
      </c>
      <c r="AR191" s="220" t="n">
        <f aca="false">Algae_electricity_factor/V191</f>
        <v>0.00130452126604835</v>
      </c>
      <c r="AS191" s="220" t="n">
        <f aca="false">Algae_electricity_factor/W191</f>
        <v>0.00126067005557587</v>
      </c>
      <c r="AT191" s="220" t="n">
        <f aca="false">Algae_electricity_factor/X191</f>
        <v>0.00123227120381775</v>
      </c>
      <c r="AU191" s="220" t="n">
        <f aca="false">Algae_electricity_factor/Y191</f>
        <v>0.00121432755061643</v>
      </c>
      <c r="AV191" s="220" t="n">
        <f aca="false">Algae_electricity_factor/Z191</f>
        <v>0.0012031660183923</v>
      </c>
      <c r="AW191" s="220" t="n">
        <f aca="false">Algae_electricity_factor/AA191</f>
        <v>0.00119629064577596</v>
      </c>
      <c r="AX191" s="220" t="n">
        <f aca="false">Algae_electricity_factor/AB191</f>
        <v>0.0011920809408648</v>
      </c>
      <c r="AY191" s="220" t="n">
        <f aca="false">Algae_electricity_factor/AC191</f>
        <v>0.00118951289464885</v>
      </c>
      <c r="AZ191" s="221" t="n">
        <f aca="false">Algae_yield_cost_factor/H191</f>
        <v>0.131261630730239</v>
      </c>
      <c r="BA191" s="197" t="n">
        <f aca="false">Algae_yield_cost_factor/I191</f>
        <v>0.131261630730239</v>
      </c>
      <c r="BB191" s="197" t="n">
        <f aca="false">Algae_yield_cost_factor/J191</f>
        <v>0.131261630730239</v>
      </c>
      <c r="BC191" s="197" t="n">
        <f aca="false">Algae_yield_cost_factor/K191</f>
        <v>0.131261630730239</v>
      </c>
      <c r="BD191" s="197" t="n">
        <f aca="false">Algae_yield_cost_factor/L191</f>
        <v>0.131261630730239</v>
      </c>
      <c r="BE191" s="197" t="n">
        <f aca="false">Algae_yield_cost_factor/M191</f>
        <v>0.12531830088561</v>
      </c>
      <c r="BF191" s="197" t="n">
        <f aca="false">Algae_yield_cost_factor/N191</f>
        <v>0.122006443941939</v>
      </c>
      <c r="BG191" s="197" t="n">
        <f aca="false">Algae_yield_cost_factor/O191</f>
        <v>0.117281350993153</v>
      </c>
      <c r="BH191" s="197" t="n">
        <f aca="false">Algae_yield_cost_factor/P191</f>
        <v>0.111010484878315</v>
      </c>
      <c r="BI191" s="197" t="n">
        <f aca="false">Algae_yield_cost_factor/Q191</f>
        <v>0.103441836257913</v>
      </c>
      <c r="BJ191" s="197" t="n">
        <f aca="false">Algae_yield_cost_factor/R191</f>
        <v>0.0952869368602814</v>
      </c>
      <c r="BK191" s="197" t="n">
        <f aca="false">Algae_yield_cost_factor/S191</f>
        <v>0.0875077538201591</v>
      </c>
      <c r="BL191" s="197" t="n">
        <f aca="false">Algae_yield_cost_factor/T191</f>
        <v>0.0809028788616878</v>
      </c>
      <c r="BM191" s="197" t="n">
        <f aca="false">Algae_yield_cost_factor/U191</f>
        <v>0.0758273765837097</v>
      </c>
      <c r="BN191" s="197" t="n">
        <f aca="false">Algae_yield_cost_factor/V191</f>
        <v>0.0722180204715056</v>
      </c>
      <c r="BO191" s="197" t="n">
        <f aca="false">Algae_yield_cost_factor/W191</f>
        <v>0.0697904267648922</v>
      </c>
      <c r="BP191" s="197" t="n">
        <f aca="false">Algae_yield_cost_factor/X191</f>
        <v>0.0682182723577454</v>
      </c>
      <c r="BQ191" s="197" t="n">
        <f aca="false">Algae_yield_cost_factor/Y191</f>
        <v>0.0672249155241293</v>
      </c>
      <c r="BR191" s="197" t="n">
        <f aca="false">Algae_yield_cost_factor/Z191</f>
        <v>0.0666070154686576</v>
      </c>
      <c r="BS191" s="197" t="n">
        <f aca="false">Algae_yield_cost_factor/AA191</f>
        <v>0.0662263962995576</v>
      </c>
      <c r="BT191" s="197" t="n">
        <f aca="false">Algae_yield_cost_factor/AB191</f>
        <v>0.0659933479289675</v>
      </c>
      <c r="BU191" s="197" t="n">
        <f aca="false">Algae_yield_cost_factor/AC191</f>
        <v>0.0658511814353869</v>
      </c>
    </row>
    <row r="192" customFormat="false" ht="15" hidden="false" customHeight="false" outlineLevel="0" collapsed="false">
      <c r="A192" s="18" t="s">
        <v>719</v>
      </c>
      <c r="B192" s="18" t="s">
        <v>22</v>
      </c>
      <c r="C192" s="18" t="s">
        <v>682</v>
      </c>
      <c r="D192" s="18" t="s">
        <v>682</v>
      </c>
      <c r="E192" s="28" t="n">
        <v>6.103895</v>
      </c>
      <c r="F192" s="185" t="n">
        <f aca="false">E192/$B$2*$F$3/1000</f>
        <v>0.01495454275</v>
      </c>
      <c r="G192" s="18" t="n">
        <f aca="false">LOOKUP(RIGHT(D192,5),Ref!$C$4:$C$21,Ref!$E$4:$E$21)*$G$3</f>
        <v>3</v>
      </c>
      <c r="H192" s="218" t="n">
        <f aca="false">$E192</f>
        <v>6.103895</v>
      </c>
      <c r="I192" s="177" t="n">
        <f aca="false">$E192</f>
        <v>6.103895</v>
      </c>
      <c r="J192" s="177" t="n">
        <f aca="false">$E192</f>
        <v>6.103895</v>
      </c>
      <c r="K192" s="177" t="n">
        <f aca="false">$E192</f>
        <v>6.103895</v>
      </c>
      <c r="L192" s="177" t="n">
        <f aca="false">$E192</f>
        <v>6.103895</v>
      </c>
      <c r="M192" s="177" t="n">
        <f aca="false">M$3*$E192</f>
        <v>6.39337755015918</v>
      </c>
      <c r="N192" s="177" t="n">
        <f aca="false">N$3*$E192</f>
        <v>6.56692536574077</v>
      </c>
      <c r="O192" s="177" t="n">
        <f aca="false">O$3*$E192</f>
        <v>6.83149711971619</v>
      </c>
      <c r="P192" s="177" t="n">
        <f aca="false">P$3*$E192</f>
        <v>7.217401242634</v>
      </c>
      <c r="Q192" s="177" t="n">
        <f aca="false">Q$3*$E192</f>
        <v>7.74548519719321</v>
      </c>
      <c r="R192" s="177" t="n">
        <f aca="false">R$3*$E192</f>
        <v>8.40836360057366</v>
      </c>
      <c r="S192" s="177" t="n">
        <f aca="false">S$3*$E192</f>
        <v>9.1558425</v>
      </c>
      <c r="T192" s="177" t="n">
        <f aca="false">T$3*$E192</f>
        <v>9.90332139942634</v>
      </c>
      <c r="U192" s="177" t="n">
        <f aca="false">U$3*$E192</f>
        <v>10.5661998028068</v>
      </c>
      <c r="V192" s="177" t="n">
        <f aca="false">V$3*$E192</f>
        <v>11.094283757366</v>
      </c>
      <c r="W192" s="177" t="n">
        <f aca="false">W$3*$E192</f>
        <v>11.4801878802838</v>
      </c>
      <c r="X192" s="177" t="n">
        <f aca="false">X$3*$E192</f>
        <v>11.7447596342592</v>
      </c>
      <c r="Y192" s="177" t="n">
        <f aca="false">Y$3*$E192</f>
        <v>11.9183074498408</v>
      </c>
      <c r="Z192" s="177" t="n">
        <f aca="false">Z$3*$E192</f>
        <v>12.028871221278</v>
      </c>
      <c r="AA192" s="177" t="n">
        <f aca="false">AA$3*$E192</f>
        <v>12.0980040629434</v>
      </c>
      <c r="AB192" s="177" t="n">
        <f aca="false">AB$3*$E192</f>
        <v>12.1407268558118</v>
      </c>
      <c r="AC192" s="177" t="n">
        <f aca="false">AC$3*$E192</f>
        <v>12.1669375407075</v>
      </c>
      <c r="AD192" s="219" t="n">
        <f aca="false">Algae_electricity_factor/H192</f>
        <v>0.00225161099650785</v>
      </c>
      <c r="AE192" s="220" t="n">
        <f aca="false">Algae_electricity_factor/I192</f>
        <v>0.00225161099650785</v>
      </c>
      <c r="AF192" s="220" t="n">
        <f aca="false">Algae_electricity_factor/J192</f>
        <v>0.00225161099650785</v>
      </c>
      <c r="AG192" s="220" t="n">
        <f aca="false">Algae_electricity_factor/K192</f>
        <v>0.00225161099650785</v>
      </c>
      <c r="AH192" s="220" t="n">
        <f aca="false">Algae_electricity_factor/L192</f>
        <v>0.00225161099650785</v>
      </c>
      <c r="AI192" s="220" t="n">
        <f aca="false">Algae_electricity_factor/M192</f>
        <v>0.0021496614263281</v>
      </c>
      <c r="AJ192" s="220" t="n">
        <f aca="false">Algae_electricity_factor/N192</f>
        <v>0.00209285111952524</v>
      </c>
      <c r="AK192" s="220" t="n">
        <f aca="false">Algae_electricity_factor/O192</f>
        <v>0.00201179871156854</v>
      </c>
      <c r="AL192" s="220" t="n">
        <f aca="false">Algae_electricity_factor/P192</f>
        <v>0.0019042307115121</v>
      </c>
      <c r="AM192" s="220" t="n">
        <f aca="false">Algae_electricity_factor/Q192</f>
        <v>0.00177440105476022</v>
      </c>
      <c r="AN192" s="220" t="n">
        <f aca="false">Algae_electricity_factor/R192</f>
        <v>0.00163451508003194</v>
      </c>
      <c r="AO192" s="220" t="n">
        <f aca="false">Algae_electricity_factor/S192</f>
        <v>0.0015010739976719</v>
      </c>
      <c r="AP192" s="220" t="n">
        <f aca="false">Algae_electricity_factor/T192</f>
        <v>0.00138777653972993</v>
      </c>
      <c r="AQ192" s="220" t="n">
        <f aca="false">Algae_electricity_factor/U192</f>
        <v>0.00130071334633275</v>
      </c>
      <c r="AR192" s="220" t="n">
        <f aca="false">Algae_electricity_factor/V192</f>
        <v>0.00123879985442091</v>
      </c>
      <c r="AS192" s="220" t="n">
        <f aca="false">Algae_electricity_factor/W192</f>
        <v>0.00119715785550275</v>
      </c>
      <c r="AT192" s="220" t="n">
        <f aca="false">Algae_electricity_factor/X192</f>
        <v>0.00117018972984679</v>
      </c>
      <c r="AU192" s="220" t="n">
        <f aca="false">Algae_electricity_factor/Y192</f>
        <v>0.00115315007280776</v>
      </c>
      <c r="AV192" s="220" t="n">
        <f aca="false">Algae_electricity_factor/Z192</f>
        <v>0.00114255085541344</v>
      </c>
      <c r="AW192" s="220" t="n">
        <f aca="false">Algae_electricity_factor/AA192</f>
        <v>0.00113602186212074</v>
      </c>
      <c r="AX192" s="220" t="n">
        <f aca="false">Algae_electricity_factor/AB192</f>
        <v>0.0011320242409498</v>
      </c>
      <c r="AY192" s="220" t="n">
        <f aca="false">Algae_electricity_factor/AC192</f>
        <v>0.00112958557217432</v>
      </c>
      <c r="AZ192" s="221" t="n">
        <f aca="false">Algae_yield_cost_factor/H192</f>
        <v>0.124648706979104</v>
      </c>
      <c r="BA192" s="197" t="n">
        <f aca="false">Algae_yield_cost_factor/I192</f>
        <v>0.124648706979104</v>
      </c>
      <c r="BB192" s="197" t="n">
        <f aca="false">Algae_yield_cost_factor/J192</f>
        <v>0.124648706979104</v>
      </c>
      <c r="BC192" s="197" t="n">
        <f aca="false">Algae_yield_cost_factor/K192</f>
        <v>0.124648706979104</v>
      </c>
      <c r="BD192" s="197" t="n">
        <f aca="false">Algae_yield_cost_factor/L192</f>
        <v>0.124648706979104</v>
      </c>
      <c r="BE192" s="197" t="n">
        <f aca="false">Algae_yield_cost_factor/M192</f>
        <v>0.119004800407458</v>
      </c>
      <c r="BF192" s="197" t="n">
        <f aca="false">Algae_yield_cost_factor/N192</f>
        <v>0.115859793877891</v>
      </c>
      <c r="BG192" s="197" t="n">
        <f aca="false">Algae_yield_cost_factor/O192</f>
        <v>0.111372749772575</v>
      </c>
      <c r="BH192" s="197" t="n">
        <f aca="false">Algae_yield_cost_factor/P192</f>
        <v>0.105417808115175</v>
      </c>
      <c r="BI192" s="197" t="n">
        <f aca="false">Algae_yield_cost_factor/Q192</f>
        <v>0.098230465866997</v>
      </c>
      <c r="BJ192" s="197" t="n">
        <f aca="false">Algae_yield_cost_factor/R192</f>
        <v>0.0904864079895772</v>
      </c>
      <c r="BK192" s="197" t="n">
        <f aca="false">Algae_yield_cost_factor/S192</f>
        <v>0.0830991379860693</v>
      </c>
      <c r="BL192" s="197" t="n">
        <f aca="false">Algae_yield_cost_factor/T192</f>
        <v>0.0768270147559071</v>
      </c>
      <c r="BM192" s="197" t="n">
        <f aca="false">Algae_yield_cost_factor/U192</f>
        <v>0.0720072148440832</v>
      </c>
      <c r="BN192" s="197" t="n">
        <f aca="false">Algae_yield_cost_factor/V192</f>
        <v>0.0685796970697689</v>
      </c>
      <c r="BO192" s="197" t="n">
        <f aca="false">Algae_yield_cost_factor/W192</f>
        <v>0.0662744048460128</v>
      </c>
      <c r="BP192" s="197" t="n">
        <f aca="false">Algae_yield_cost_factor/X192</f>
        <v>0.0647814551322834</v>
      </c>
      <c r="BQ192" s="197" t="n">
        <f aca="false">Algae_yield_cost_factor/Y192</f>
        <v>0.0638381433343859</v>
      </c>
      <c r="BR192" s="197" t="n">
        <f aca="false">Algae_yield_cost_factor/Z192</f>
        <v>0.06325137290857</v>
      </c>
      <c r="BS192" s="197" t="n">
        <f aca="false">Algae_yield_cost_factor/AA192</f>
        <v>0.0628899292253259</v>
      </c>
      <c r="BT192" s="197" t="n">
        <f aca="false">Algae_yield_cost_factor/AB192</f>
        <v>0.0626686217655904</v>
      </c>
      <c r="BU192" s="197" t="n">
        <f aca="false">Algae_yield_cost_factor/AC192</f>
        <v>0.0625336175796604</v>
      </c>
    </row>
    <row r="193" customFormat="false" ht="15" hidden="false" customHeight="false" outlineLevel="0" collapsed="false">
      <c r="A193" s="18" t="s">
        <v>719</v>
      </c>
      <c r="B193" s="18" t="s">
        <v>22</v>
      </c>
      <c r="C193" s="18" t="s">
        <v>686</v>
      </c>
      <c r="D193" s="18" t="s">
        <v>686</v>
      </c>
      <c r="E193" s="28" t="n">
        <v>4.1257045</v>
      </c>
      <c r="F193" s="185" t="n">
        <f aca="false">E193/$B$2*$F$3/1000</f>
        <v>0.010107976025</v>
      </c>
      <c r="G193" s="18" t="n">
        <f aca="false">LOOKUP(RIGHT(D193,5),Ref!$C$4:$C$21,Ref!$E$4:$E$21)*$G$3</f>
        <v>4.5</v>
      </c>
      <c r="H193" s="218" t="n">
        <f aca="false">$E193</f>
        <v>4.1257045</v>
      </c>
      <c r="I193" s="177" t="n">
        <f aca="false">$E193</f>
        <v>4.1257045</v>
      </c>
      <c r="J193" s="177" t="n">
        <f aca="false">$E193</f>
        <v>4.1257045</v>
      </c>
      <c r="K193" s="177" t="n">
        <f aca="false">$E193</f>
        <v>4.1257045</v>
      </c>
      <c r="L193" s="177" t="n">
        <f aca="false">$E193</f>
        <v>4.1257045</v>
      </c>
      <c r="M193" s="177" t="n">
        <f aca="false">M$3*$E193</f>
        <v>4.32136963838512</v>
      </c>
      <c r="N193" s="177" t="n">
        <f aca="false">N$3*$E193</f>
        <v>4.43867293467546</v>
      </c>
      <c r="O193" s="177" t="n">
        <f aca="false">O$3*$E193</f>
        <v>4.6175005317998</v>
      </c>
      <c r="P193" s="177" t="n">
        <f aca="false">P$3*$E193</f>
        <v>4.87833830448274</v>
      </c>
      <c r="Q193" s="177" t="n">
        <f aca="false">Q$3*$E193</f>
        <v>5.23527733238259</v>
      </c>
      <c r="R193" s="177" t="n">
        <f aca="false">R$3*$E193</f>
        <v>5.68332573619352</v>
      </c>
      <c r="S193" s="177" t="n">
        <f aca="false">S$3*$E193</f>
        <v>6.18855675</v>
      </c>
      <c r="T193" s="177" t="n">
        <f aca="false">T$3*$E193</f>
        <v>6.69378776380648</v>
      </c>
      <c r="U193" s="177" t="n">
        <f aca="false">U$3*$E193</f>
        <v>7.14183616761742</v>
      </c>
      <c r="V193" s="177" t="n">
        <f aca="false">V$3*$E193</f>
        <v>7.49877519551726</v>
      </c>
      <c r="W193" s="177" t="n">
        <f aca="false">W$3*$E193</f>
        <v>7.7596129682002</v>
      </c>
      <c r="X193" s="177" t="n">
        <f aca="false">X$3*$E193</f>
        <v>7.93844056532455</v>
      </c>
      <c r="Y193" s="177" t="n">
        <f aca="false">Y$3*$E193</f>
        <v>8.05574386161488</v>
      </c>
      <c r="Z193" s="177" t="n">
        <f aca="false">Z$3*$E193</f>
        <v>8.13047539768409</v>
      </c>
      <c r="AA193" s="177" t="n">
        <f aca="false">AA$3*$E193</f>
        <v>8.17720321262146</v>
      </c>
      <c r="AB193" s="177" t="n">
        <f aca="false">AB$3*$E193</f>
        <v>8.20608012134772</v>
      </c>
      <c r="AC193" s="177" t="n">
        <f aca="false">AC$3*$E193</f>
        <v>8.22379627482385</v>
      </c>
      <c r="AD193" s="219" t="n">
        <f aca="false">Algae_electricity_factor/H193</f>
        <v>0.00333121218534417</v>
      </c>
      <c r="AE193" s="220" t="n">
        <f aca="false">Algae_electricity_factor/I193</f>
        <v>0.00333121218534417</v>
      </c>
      <c r="AF193" s="220" t="n">
        <f aca="false">Algae_electricity_factor/J193</f>
        <v>0.00333121218534417</v>
      </c>
      <c r="AG193" s="220" t="n">
        <f aca="false">Algae_electricity_factor/K193</f>
        <v>0.00333121218534417</v>
      </c>
      <c r="AH193" s="220" t="n">
        <f aca="false">Algae_electricity_factor/L193</f>
        <v>0.00333121218534417</v>
      </c>
      <c r="AI193" s="220" t="n">
        <f aca="false">Algae_electricity_factor/M193</f>
        <v>0.00318037989193287</v>
      </c>
      <c r="AJ193" s="220" t="n">
        <f aca="false">Algae_electricity_factor/N193</f>
        <v>0.00309633021080751</v>
      </c>
      <c r="AK193" s="220" t="n">
        <f aca="false">Algae_electricity_factor/O193</f>
        <v>0.00297641483934433</v>
      </c>
      <c r="AL193" s="220" t="n">
        <f aca="false">Algae_electricity_factor/P193</f>
        <v>0.00281727019442259</v>
      </c>
      <c r="AM193" s="220" t="n">
        <f aca="false">Algae_electricity_factor/Q193</f>
        <v>0.00262518988602931</v>
      </c>
      <c r="AN193" s="220" t="n">
        <f aca="false">Algae_electricity_factor/R193</f>
        <v>0.00241823146190706</v>
      </c>
      <c r="AO193" s="220" t="n">
        <f aca="false">Algae_electricity_factor/S193</f>
        <v>0.00222080812356278</v>
      </c>
      <c r="AP193" s="220" t="n">
        <f aca="false">Algae_electricity_factor/T193</f>
        <v>0.00205318686347382</v>
      </c>
      <c r="AQ193" s="220" t="n">
        <f aca="false">Algae_electricity_factor/U193</f>
        <v>0.0019243786585088</v>
      </c>
      <c r="AR193" s="220" t="n">
        <f aca="false">Algae_electricity_factor/V193</f>
        <v>0.0018327789199155</v>
      </c>
      <c r="AS193" s="220" t="n">
        <f aca="false">Algae_electricity_factor/W193</f>
        <v>0.00177117043850668</v>
      </c>
      <c r="AT193" s="220" t="n">
        <f aca="false">Algae_electricity_factor/X193</f>
        <v>0.00173127165095395</v>
      </c>
      <c r="AU193" s="220" t="n">
        <f aca="false">Algae_electricity_factor/Y193</f>
        <v>0.00170606182863095</v>
      </c>
      <c r="AV193" s="220" t="n">
        <f aca="false">Algae_electricity_factor/Z193</f>
        <v>0.00169038050437297</v>
      </c>
      <c r="AW193" s="220" t="n">
        <f aca="false">Algae_electricity_factor/AA193</f>
        <v>0.00168072099300603</v>
      </c>
      <c r="AX193" s="220" t="n">
        <f aca="false">Algae_electricity_factor/AB193</f>
        <v>0.00167480659465851</v>
      </c>
      <c r="AY193" s="220" t="n">
        <f aca="false">Algae_electricity_factor/AC193</f>
        <v>0.00167119863433432</v>
      </c>
      <c r="AZ193" s="221" t="n">
        <f aca="false">Algae_yield_cost_factor/H193</f>
        <v>0.184415199703764</v>
      </c>
      <c r="BA193" s="197" t="n">
        <f aca="false">Algae_yield_cost_factor/I193</f>
        <v>0.184415199703764</v>
      </c>
      <c r="BB193" s="197" t="n">
        <f aca="false">Algae_yield_cost_factor/J193</f>
        <v>0.184415199703764</v>
      </c>
      <c r="BC193" s="197" t="n">
        <f aca="false">Algae_yield_cost_factor/K193</f>
        <v>0.184415199703764</v>
      </c>
      <c r="BD193" s="197" t="n">
        <f aca="false">Algae_yield_cost_factor/L193</f>
        <v>0.184415199703764</v>
      </c>
      <c r="BE193" s="197" t="n">
        <f aca="false">Algae_yield_cost_factor/M193</f>
        <v>0.176065155946841</v>
      </c>
      <c r="BF193" s="197" t="n">
        <f aca="false">Algae_yield_cost_factor/N193</f>
        <v>0.171412183434923</v>
      </c>
      <c r="BG193" s="197" t="n">
        <f aca="false">Algae_yield_cost_factor/O193</f>
        <v>0.164773693916535</v>
      </c>
      <c r="BH193" s="197" t="n">
        <f aca="false">Algae_yield_cost_factor/P193</f>
        <v>0.155963480143858</v>
      </c>
      <c r="BI193" s="197" t="n">
        <f aca="false">Algae_yield_cost_factor/Q193</f>
        <v>0.145329955030282</v>
      </c>
      <c r="BJ193" s="197" t="n">
        <f aca="false">Algae_yield_cost_factor/R193</f>
        <v>0.133872780587059</v>
      </c>
      <c r="BK193" s="197" t="n">
        <f aca="false">Algae_yield_cost_factor/S193</f>
        <v>0.122943466469176</v>
      </c>
      <c r="BL193" s="197" t="n">
        <f aca="false">Algae_yield_cost_factor/T193</f>
        <v>0.113663989079564</v>
      </c>
      <c r="BM193" s="197" t="n">
        <f aca="false">Algae_yield_cost_factor/U193</f>
        <v>0.106533194185557</v>
      </c>
      <c r="BN193" s="197" t="n">
        <f aca="false">Algae_yield_cost_factor/V193</f>
        <v>0.101462252094322</v>
      </c>
      <c r="BO193" s="197" t="n">
        <f aca="false">Algae_yield_cost_factor/W193</f>
        <v>0.0980516196367318</v>
      </c>
      <c r="BP193" s="197" t="n">
        <f aca="false">Algae_yield_cost_factor/X193</f>
        <v>0.0958428312242598</v>
      </c>
      <c r="BQ193" s="197" t="n">
        <f aca="false">Algae_yield_cost_factor/Y193</f>
        <v>0.0944472208099348</v>
      </c>
      <c r="BR193" s="197" t="n">
        <f aca="false">Algae_yield_cost_factor/Z193</f>
        <v>0.0935791060265601</v>
      </c>
      <c r="BS193" s="197" t="n">
        <f aca="false">Algae_yield_cost_factor/AA193</f>
        <v>0.0930443575270164</v>
      </c>
      <c r="BT193" s="197" t="n">
        <f aca="false">Algae_yield_cost_factor/AB193</f>
        <v>0.0927169376895215</v>
      </c>
      <c r="BU193" s="197" t="n">
        <f aca="false">Algae_yield_cost_factor/AC193</f>
        <v>0.0925172017715766</v>
      </c>
    </row>
    <row r="194" customFormat="false" ht="15" hidden="false" customHeight="false" outlineLevel="0" collapsed="false">
      <c r="A194" s="18" t="s">
        <v>719</v>
      </c>
      <c r="B194" s="18" t="s">
        <v>22</v>
      </c>
      <c r="C194" s="18" t="s">
        <v>687</v>
      </c>
      <c r="D194" s="18" t="s">
        <v>687</v>
      </c>
      <c r="E194" s="28" t="n">
        <v>6.56874075</v>
      </c>
      <c r="F194" s="185" t="n">
        <f aca="false">E194/$B$2*$F$3/1000</f>
        <v>0.0160934148375</v>
      </c>
      <c r="G194" s="18" t="n">
        <f aca="false">LOOKUP(RIGHT(D194,5),Ref!$C$4:$C$21,Ref!$E$4:$E$21)*$G$3</f>
        <v>4.5</v>
      </c>
      <c r="H194" s="218" t="n">
        <f aca="false">$E194</f>
        <v>6.56874075</v>
      </c>
      <c r="I194" s="177" t="n">
        <f aca="false">$E194</f>
        <v>6.56874075</v>
      </c>
      <c r="J194" s="177" t="n">
        <f aca="false">$E194</f>
        <v>6.56874075</v>
      </c>
      <c r="K194" s="177" t="n">
        <f aca="false">$E194</f>
        <v>6.56874075</v>
      </c>
      <c r="L194" s="177" t="n">
        <f aca="false">$E194</f>
        <v>6.56874075</v>
      </c>
      <c r="M194" s="177" t="n">
        <f aca="false">M$3*$E194</f>
        <v>6.88026901574581</v>
      </c>
      <c r="N194" s="177" t="n">
        <f aca="false">N$3*$E194</f>
        <v>7.06703346832638</v>
      </c>
      <c r="O194" s="177" t="n">
        <f aca="false">O$3*$E194</f>
        <v>7.35175384140576</v>
      </c>
      <c r="P194" s="177" t="n">
        <f aca="false">P$3*$E194</f>
        <v>7.76704672206691</v>
      </c>
      <c r="Q194" s="177" t="n">
        <f aca="false">Q$3*$E194</f>
        <v>8.33534722391601</v>
      </c>
      <c r="R194" s="177" t="n">
        <f aca="false">R$3*$E194</f>
        <v>9.04870752591663</v>
      </c>
      <c r="S194" s="177" t="n">
        <f aca="false">S$3*$E194</f>
        <v>9.853111125</v>
      </c>
      <c r="T194" s="177" t="n">
        <f aca="false">T$3*$E194</f>
        <v>10.6575147240834</v>
      </c>
      <c r="U194" s="177" t="n">
        <f aca="false">U$3*$E194</f>
        <v>11.370875026084</v>
      </c>
      <c r="V194" s="177" t="n">
        <f aca="false">V$3*$E194</f>
        <v>11.9391755279331</v>
      </c>
      <c r="W194" s="177" t="n">
        <f aca="false">W$3*$E194</f>
        <v>12.3544684085942</v>
      </c>
      <c r="X194" s="177" t="n">
        <f aca="false">X$3*$E194</f>
        <v>12.6391887816736</v>
      </c>
      <c r="Y194" s="177" t="n">
        <f aca="false">Y$3*$E194</f>
        <v>12.8259532342542</v>
      </c>
      <c r="Z194" s="177" t="n">
        <f aca="false">Z$3*$E194</f>
        <v>12.9449370553902</v>
      </c>
      <c r="AA194" s="177" t="n">
        <f aca="false">AA$3*$E194</f>
        <v>13.019334749684</v>
      </c>
      <c r="AB194" s="177" t="n">
        <f aca="false">AB$3*$E194</f>
        <v>13.0653111222245</v>
      </c>
      <c r="AC194" s="177" t="n">
        <f aca="false">AC$3*$E194</f>
        <v>13.0935178974</v>
      </c>
      <c r="AD194" s="219" t="n">
        <f aca="false">Algae_electricity_factor/H194</f>
        <v>0.0020922727241944</v>
      </c>
      <c r="AE194" s="220" t="n">
        <f aca="false">Algae_electricity_factor/I194</f>
        <v>0.0020922727241944</v>
      </c>
      <c r="AF194" s="220" t="n">
        <f aca="false">Algae_electricity_factor/J194</f>
        <v>0.0020922727241944</v>
      </c>
      <c r="AG194" s="220" t="n">
        <f aca="false">Algae_electricity_factor/K194</f>
        <v>0.0020922727241944</v>
      </c>
      <c r="AH194" s="220" t="n">
        <f aca="false">Algae_electricity_factor/L194</f>
        <v>0.0020922727241944</v>
      </c>
      <c r="AI194" s="220" t="n">
        <f aca="false">Algae_electricity_factor/M194</f>
        <v>0.00199753775209609</v>
      </c>
      <c r="AJ194" s="220" t="n">
        <f aca="false">Algae_electricity_factor/N194</f>
        <v>0.0019447477028553</v>
      </c>
      <c r="AK194" s="220" t="n">
        <f aca="false">Algae_electricity_factor/O194</f>
        <v>0.00186943107726541</v>
      </c>
      <c r="AL194" s="220" t="n">
        <f aca="false">Algae_electricity_factor/P194</f>
        <v>0.00176947527101677</v>
      </c>
      <c r="AM194" s="220" t="n">
        <f aca="false">Algae_electricity_factor/Q194</f>
        <v>0.0016488331840689</v>
      </c>
      <c r="AN194" s="220" t="n">
        <f aca="false">Algae_electricity_factor/R194</f>
        <v>0.00151884642797503</v>
      </c>
      <c r="AO194" s="220" t="n">
        <f aca="false">Algae_electricity_factor/S194</f>
        <v>0.00139484848279627</v>
      </c>
      <c r="AP194" s="220" t="n">
        <f aca="false">Algae_electricity_factor/T194</f>
        <v>0.00128956867143445</v>
      </c>
      <c r="AQ194" s="220" t="n">
        <f aca="false">Algae_electricity_factor/U194</f>
        <v>0.00120866662169819</v>
      </c>
      <c r="AR194" s="220" t="n">
        <f aca="false">Algae_electricity_factor/V194</f>
        <v>0.0011511345210877</v>
      </c>
      <c r="AS194" s="220" t="n">
        <f aca="false">Algae_electricity_factor/W194</f>
        <v>0.00111243937407851</v>
      </c>
      <c r="AT194" s="220" t="n">
        <f aca="false">Algae_electricity_factor/X194</f>
        <v>0.00108737968400765</v>
      </c>
      <c r="AU194" s="220" t="n">
        <f aca="false">Algae_electricity_factor/Y194</f>
        <v>0.00107154586115473</v>
      </c>
      <c r="AV194" s="220" t="n">
        <f aca="false">Algae_electricity_factor/Z194</f>
        <v>0.00106169671159633</v>
      </c>
      <c r="AW194" s="220" t="n">
        <f aca="false">Algae_electricity_factor/AA194</f>
        <v>0.0010556297512715</v>
      </c>
      <c r="AX194" s="220" t="n">
        <f aca="false">Algae_electricity_factor/AB194</f>
        <v>0.00105191502712484</v>
      </c>
      <c r="AY194" s="220" t="n">
        <f aca="false">Algae_electricity_factor/AC194</f>
        <v>0.0010496489340163</v>
      </c>
      <c r="AZ194" s="221" t="n">
        <f aca="false">Algae_yield_cost_factor/H194</f>
        <v>0.11582777403511</v>
      </c>
      <c r="BA194" s="197" t="n">
        <f aca="false">Algae_yield_cost_factor/I194</f>
        <v>0.11582777403511</v>
      </c>
      <c r="BB194" s="197" t="n">
        <f aca="false">Algae_yield_cost_factor/J194</f>
        <v>0.11582777403511</v>
      </c>
      <c r="BC194" s="197" t="n">
        <f aca="false">Algae_yield_cost_factor/K194</f>
        <v>0.11582777403511</v>
      </c>
      <c r="BD194" s="197" t="n">
        <f aca="false">Algae_yield_cost_factor/L194</f>
        <v>0.11582777403511</v>
      </c>
      <c r="BE194" s="197" t="n">
        <f aca="false">Algae_yield_cost_factor/M194</f>
        <v>0.110583266082328</v>
      </c>
      <c r="BF194" s="197" t="n">
        <f aca="false">Algae_yield_cost_factor/N194</f>
        <v>0.107660820158306</v>
      </c>
      <c r="BG194" s="197" t="n">
        <f aca="false">Algae_yield_cost_factor/O194</f>
        <v>0.103491307747694</v>
      </c>
      <c r="BH194" s="197" t="n">
        <f aca="false">Algae_yield_cost_factor/P194</f>
        <v>0.0979577755242018</v>
      </c>
      <c r="BI194" s="197" t="n">
        <f aca="false">Algae_yield_cost_factor/Q194</f>
        <v>0.0912790551907888</v>
      </c>
      <c r="BJ194" s="197" t="n">
        <f aca="false">Algae_yield_cost_factor/R194</f>
        <v>0.0840830159563749</v>
      </c>
      <c r="BK194" s="197" t="n">
        <f aca="false">Algae_yield_cost_factor/S194</f>
        <v>0.0772185160234065</v>
      </c>
      <c r="BL194" s="197" t="n">
        <f aca="false">Algae_yield_cost_factor/T194</f>
        <v>0.071390248006592</v>
      </c>
      <c r="BM194" s="197" t="n">
        <f aca="false">Algae_yield_cost_factor/U194</f>
        <v>0.0669115277004538</v>
      </c>
      <c r="BN194" s="197" t="n">
        <f aca="false">Algae_yield_cost_factor/V194</f>
        <v>0.0637265628188595</v>
      </c>
      <c r="BO194" s="197" t="n">
        <f aca="false">Algae_yield_cost_factor/W194</f>
        <v>0.061584407691467</v>
      </c>
      <c r="BP194" s="197" t="n">
        <f aca="false">Algae_yield_cost_factor/X194</f>
        <v>0.0601971085667628</v>
      </c>
      <c r="BQ194" s="197" t="n">
        <f aca="false">Algae_yield_cost_factor/Y194</f>
        <v>0.0593205514935327</v>
      </c>
      <c r="BR194" s="197" t="n">
        <f aca="false">Algae_yield_cost_factor/Z194</f>
        <v>0.0587753046639504</v>
      </c>
      <c r="BS194" s="197" t="n">
        <f aca="false">Algae_yield_cost_factor/AA194</f>
        <v>0.058439439027765</v>
      </c>
      <c r="BT194" s="197" t="n">
        <f aca="false">Algae_yield_cost_factor/AB194</f>
        <v>0.0582337926872633</v>
      </c>
      <c r="BU194" s="197" t="n">
        <f aca="false">Algae_yield_cost_factor/AC194</f>
        <v>0.0581083422536354</v>
      </c>
    </row>
    <row r="195" customFormat="false" ht="15" hidden="false" customHeight="false" outlineLevel="0" collapsed="false">
      <c r="A195" s="18" t="s">
        <v>719</v>
      </c>
      <c r="B195" s="18" t="s">
        <v>22</v>
      </c>
      <c r="C195" s="18" t="s">
        <v>688</v>
      </c>
      <c r="D195" s="18" t="s">
        <v>688</v>
      </c>
      <c r="E195" s="28" t="n">
        <v>6.591754</v>
      </c>
      <c r="F195" s="185" t="n">
        <f aca="false">E195/$B$2*$F$3/1000</f>
        <v>0.0161497973</v>
      </c>
      <c r="G195" s="18" t="n">
        <f aca="false">LOOKUP(RIGHT(D195,5),Ref!$C$4:$C$21,Ref!$E$4:$E$21)*$G$3</f>
        <v>4.5</v>
      </c>
      <c r="H195" s="218" t="n">
        <f aca="false">$E195</f>
        <v>6.591754</v>
      </c>
      <c r="I195" s="177" t="n">
        <f aca="false">$E195</f>
        <v>6.591754</v>
      </c>
      <c r="J195" s="177" t="n">
        <f aca="false">$E195</f>
        <v>6.591754</v>
      </c>
      <c r="K195" s="177" t="n">
        <f aca="false">$E195</f>
        <v>6.591754</v>
      </c>
      <c r="L195" s="177" t="n">
        <f aca="false">$E195</f>
        <v>6.591754</v>
      </c>
      <c r="M195" s="177" t="n">
        <f aca="false">M$3*$E195</f>
        <v>6.90437368922172</v>
      </c>
      <c r="N195" s="177" t="n">
        <f aca="false">N$3*$E195</f>
        <v>7.09179246158775</v>
      </c>
      <c r="O195" s="177" t="n">
        <f aca="false">O$3*$E195</f>
        <v>7.37751033805098</v>
      </c>
      <c r="P195" s="177" t="n">
        <f aca="false">P$3*$E195</f>
        <v>7.79425817625264</v>
      </c>
      <c r="Q195" s="177" t="n">
        <f aca="false">Q$3*$E195</f>
        <v>8.36454969008135</v>
      </c>
      <c r="R195" s="177" t="n">
        <f aca="false">R$3*$E195</f>
        <v>9.08040921371285</v>
      </c>
      <c r="S195" s="177" t="n">
        <f aca="false">S$3*$E195</f>
        <v>9.887631</v>
      </c>
      <c r="T195" s="177" t="n">
        <f aca="false">T$3*$E195</f>
        <v>10.6948527862871</v>
      </c>
      <c r="U195" s="177" t="n">
        <f aca="false">U$3*$E195</f>
        <v>11.4107123099187</v>
      </c>
      <c r="V195" s="177" t="n">
        <f aca="false">V$3*$E195</f>
        <v>11.9810038237474</v>
      </c>
      <c r="W195" s="177" t="n">
        <f aca="false">W$3*$E195</f>
        <v>12.397751661949</v>
      </c>
      <c r="X195" s="177" t="n">
        <f aca="false">X$3*$E195</f>
        <v>12.6834695384122</v>
      </c>
      <c r="Y195" s="177" t="n">
        <f aca="false">Y$3*$E195</f>
        <v>12.8708883107783</v>
      </c>
      <c r="Z195" s="177" t="n">
        <f aca="false">Z$3*$E195</f>
        <v>12.9902889856958</v>
      </c>
      <c r="AA195" s="177" t="n">
        <f aca="false">AA$3*$E195</f>
        <v>13.0649473285375</v>
      </c>
      <c r="AB195" s="177" t="n">
        <f aca="false">AB$3*$E195</f>
        <v>13.111084776967</v>
      </c>
      <c r="AC195" s="177" t="n">
        <f aca="false">AC$3*$E195</f>
        <v>13.1393903731484</v>
      </c>
      <c r="AD195" s="219" t="n">
        <f aca="false">Algae_electricity_factor/H195</f>
        <v>0.00208496814406746</v>
      </c>
      <c r="AE195" s="220" t="n">
        <f aca="false">Algae_electricity_factor/I195</f>
        <v>0.00208496814406746</v>
      </c>
      <c r="AF195" s="220" t="n">
        <f aca="false">Algae_electricity_factor/J195</f>
        <v>0.00208496814406746</v>
      </c>
      <c r="AG195" s="220" t="n">
        <f aca="false">Algae_electricity_factor/K195</f>
        <v>0.00208496814406746</v>
      </c>
      <c r="AH195" s="220" t="n">
        <f aca="false">Algae_electricity_factor/L195</f>
        <v>0.00208496814406746</v>
      </c>
      <c r="AI195" s="220" t="n">
        <f aca="false">Algae_electricity_factor/M195</f>
        <v>0.00199056391240586</v>
      </c>
      <c r="AJ195" s="220" t="n">
        <f aca="false">Algae_electricity_factor/N195</f>
        <v>0.00193795816473347</v>
      </c>
      <c r="AK195" s="220" t="n">
        <f aca="false">Algae_electricity_factor/O195</f>
        <v>0.00186290448590006</v>
      </c>
      <c r="AL195" s="220" t="n">
        <f aca="false">Algae_electricity_factor/P195</f>
        <v>0.00176329764715812</v>
      </c>
      <c r="AM195" s="220" t="n">
        <f aca="false">Algae_electricity_factor/Q195</f>
        <v>0.0016430767480318</v>
      </c>
      <c r="AN195" s="220" t="n">
        <f aca="false">Algae_electricity_factor/R195</f>
        <v>0.0015135438040363</v>
      </c>
      <c r="AO195" s="220" t="n">
        <f aca="false">Algae_electricity_factor/S195</f>
        <v>0.00138997876271164</v>
      </c>
      <c r="AP195" s="220" t="n">
        <f aca="false">Algae_electricity_factor/T195</f>
        <v>0.00128506650611883</v>
      </c>
      <c r="AQ195" s="220" t="n">
        <f aca="false">Algae_electricity_factor/U195</f>
        <v>0.00120444690307219</v>
      </c>
      <c r="AR195" s="220" t="n">
        <f aca="false">Algae_electricity_factor/V195</f>
        <v>0.00114711565956504</v>
      </c>
      <c r="AS195" s="220" t="n">
        <f aca="false">Algae_electricity_factor/W195</f>
        <v>0.00110855560574833</v>
      </c>
      <c r="AT195" s="220" t="n">
        <f aca="false">Algae_electricity_factor/X195</f>
        <v>0.0010835834045177</v>
      </c>
      <c r="AU195" s="220" t="n">
        <f aca="false">Algae_electricity_factor/Y195</f>
        <v>0.00106780486099162</v>
      </c>
      <c r="AV195" s="220" t="n">
        <f aca="false">Algae_electricity_factor/Z195</f>
        <v>0.00105799009696112</v>
      </c>
      <c r="AW195" s="220" t="n">
        <f aca="false">Algae_electricity_factor/AA195</f>
        <v>0.00105194431771718</v>
      </c>
      <c r="AX195" s="220" t="n">
        <f aca="false">Algae_electricity_factor/AB195</f>
        <v>0.0010482425624822</v>
      </c>
      <c r="AY195" s="220" t="n">
        <f aca="false">Algae_electricity_factor/AC195</f>
        <v>0.00104598438079864</v>
      </c>
      <c r="AZ195" s="221" t="n">
        <f aca="false">Algae_yield_cost_factor/H195</f>
        <v>0.115423394029301</v>
      </c>
      <c r="BA195" s="197" t="n">
        <f aca="false">Algae_yield_cost_factor/I195</f>
        <v>0.115423394029301</v>
      </c>
      <c r="BB195" s="197" t="n">
        <f aca="false">Algae_yield_cost_factor/J195</f>
        <v>0.115423394029301</v>
      </c>
      <c r="BC195" s="197" t="n">
        <f aca="false">Algae_yield_cost_factor/K195</f>
        <v>0.115423394029301</v>
      </c>
      <c r="BD195" s="197" t="n">
        <f aca="false">Algae_yield_cost_factor/L195</f>
        <v>0.115423394029301</v>
      </c>
      <c r="BE195" s="197" t="n">
        <f aca="false">Algae_yield_cost_factor/M195</f>
        <v>0.110197195796913</v>
      </c>
      <c r="BF195" s="197" t="n">
        <f aca="false">Algae_yield_cost_factor/N195</f>
        <v>0.107284952768609</v>
      </c>
      <c r="BG195" s="197" t="n">
        <f aca="false">Algae_yield_cost_factor/O195</f>
        <v>0.103129997034639</v>
      </c>
      <c r="BH195" s="197" t="n">
        <f aca="false">Algae_yield_cost_factor/P195</f>
        <v>0.0976157835782672</v>
      </c>
      <c r="BI195" s="197" t="n">
        <f aca="false">Algae_yield_cost_factor/Q195</f>
        <v>0.09096038011328</v>
      </c>
      <c r="BJ195" s="197" t="n">
        <f aca="false">Algae_yield_cost_factor/R195</f>
        <v>0.0837894638203337</v>
      </c>
      <c r="BK195" s="197" t="n">
        <f aca="false">Algae_yield_cost_factor/S195</f>
        <v>0.076948929352867</v>
      </c>
      <c r="BL195" s="197" t="n">
        <f aca="false">Algae_yield_cost_factor/T195</f>
        <v>0.0711410090900703</v>
      </c>
      <c r="BM195" s="197" t="n">
        <f aca="false">Algae_yield_cost_factor/U195</f>
        <v>0.0666779249727349</v>
      </c>
      <c r="BN195" s="197" t="n">
        <f aca="false">Algae_yield_cost_factor/V195</f>
        <v>0.0635040794977599</v>
      </c>
      <c r="BO195" s="197" t="n">
        <f aca="false">Algae_yield_cost_factor/W195</f>
        <v>0.0613694031008367</v>
      </c>
      <c r="BP195" s="197" t="n">
        <f aca="false">Algae_yield_cost_factor/X195</f>
        <v>0.0599869473397625</v>
      </c>
      <c r="BQ195" s="197" t="n">
        <f aca="false">Algae_yield_cost_factor/Y195</f>
        <v>0.0591134505183357</v>
      </c>
      <c r="BR195" s="197" t="n">
        <f aca="false">Algae_yield_cost_factor/Z195</f>
        <v>0.0585701072642814</v>
      </c>
      <c r="BS195" s="197" t="n">
        <f aca="false">Algae_yield_cost_factor/AA195</f>
        <v>0.0582354142082396</v>
      </c>
      <c r="BT195" s="197" t="n">
        <f aca="false">Algae_yield_cost_factor/AB195</f>
        <v>0.0580304858239368</v>
      </c>
      <c r="BU195" s="197" t="n">
        <f aca="false">Algae_yield_cost_factor/AC195</f>
        <v>0.0579054733651167</v>
      </c>
    </row>
    <row r="196" customFormat="false" ht="15" hidden="false" customHeight="false" outlineLevel="0" collapsed="false">
      <c r="E196" s="185"/>
      <c r="H196" s="222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219"/>
      <c r="AE196" s="220"/>
      <c r="AF196" s="220"/>
      <c r="AG196" s="220"/>
      <c r="AH196" s="220"/>
      <c r="AI196" s="220"/>
      <c r="AJ196" s="220"/>
      <c r="AK196" s="220"/>
      <c r="AL196" s="220"/>
      <c r="AM196" s="220"/>
      <c r="AN196" s="220"/>
      <c r="AO196" s="220"/>
      <c r="AP196" s="220"/>
      <c r="AQ196" s="220"/>
      <c r="AR196" s="220"/>
      <c r="AS196" s="220"/>
      <c r="AT196" s="220"/>
      <c r="AU196" s="220"/>
      <c r="AV196" s="220"/>
      <c r="AW196" s="220"/>
      <c r="AX196" s="220"/>
      <c r="AY196" s="220"/>
    </row>
    <row r="197" customFormat="false" ht="15" hidden="false" customHeight="false" outlineLevel="0" collapsed="false">
      <c r="E197" s="185"/>
      <c r="H197" s="222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  <c r="AB197" s="185"/>
      <c r="AC197" s="185"/>
      <c r="AD197" s="219"/>
      <c r="AE197" s="220"/>
      <c r="AF197" s="220"/>
      <c r="AG197" s="220"/>
      <c r="AH197" s="220"/>
      <c r="AI197" s="220"/>
      <c r="AJ197" s="220"/>
      <c r="AK197" s="220"/>
      <c r="AL197" s="220"/>
      <c r="AM197" s="220"/>
      <c r="AN197" s="220"/>
      <c r="AO197" s="220"/>
      <c r="AP197" s="220"/>
      <c r="AQ197" s="220"/>
      <c r="AR197" s="220"/>
      <c r="AS197" s="220"/>
      <c r="AT197" s="220"/>
      <c r="AU197" s="220"/>
      <c r="AV197" s="220"/>
      <c r="AW197" s="220"/>
      <c r="AX197" s="220"/>
      <c r="AY197" s="220"/>
    </row>
    <row r="198" customFormat="false" ht="15" hidden="false" customHeight="false" outlineLevel="0" collapsed="false">
      <c r="E198" s="185"/>
      <c r="H198" s="222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  <c r="AB198" s="185"/>
      <c r="AC198" s="185"/>
      <c r="AD198" s="219"/>
      <c r="AE198" s="220"/>
      <c r="AF198" s="220"/>
      <c r="AG198" s="220"/>
      <c r="AH198" s="220"/>
      <c r="AI198" s="220"/>
      <c r="AJ198" s="220"/>
      <c r="AK198" s="220"/>
      <c r="AL198" s="220"/>
      <c r="AM198" s="220"/>
      <c r="AN198" s="220"/>
      <c r="AO198" s="220"/>
      <c r="AP198" s="220"/>
      <c r="AQ198" s="220"/>
      <c r="AR198" s="220"/>
      <c r="AS198" s="220"/>
      <c r="AT198" s="220"/>
      <c r="AU198" s="220"/>
      <c r="AV198" s="220"/>
      <c r="AW198" s="220"/>
      <c r="AX198" s="220"/>
      <c r="AY198" s="220"/>
    </row>
    <row r="199" customFormat="false" ht="15" hidden="false" customHeight="false" outlineLevel="0" collapsed="false">
      <c r="E199" s="185"/>
      <c r="H199" s="222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  <c r="AB199" s="185"/>
      <c r="AC199" s="185"/>
      <c r="AD199" s="219"/>
      <c r="AE199" s="220"/>
      <c r="AF199" s="220"/>
      <c r="AG199" s="220"/>
      <c r="AH199" s="220"/>
      <c r="AI199" s="220"/>
      <c r="AJ199" s="220"/>
      <c r="AK199" s="220"/>
      <c r="AL199" s="220"/>
      <c r="AM199" s="220"/>
      <c r="AN199" s="220"/>
      <c r="AO199" s="220"/>
      <c r="AP199" s="220"/>
      <c r="AQ199" s="220"/>
      <c r="AR199" s="220"/>
      <c r="AS199" s="220"/>
      <c r="AT199" s="220"/>
      <c r="AU199" s="220"/>
      <c r="AV199" s="220"/>
      <c r="AW199" s="220"/>
      <c r="AX199" s="220"/>
      <c r="AY199" s="220"/>
    </row>
    <row r="200" customFormat="false" ht="15" hidden="false" customHeight="false" outlineLevel="0" collapsed="false">
      <c r="E200" s="185"/>
      <c r="H200" s="222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  <c r="AB200" s="185"/>
      <c r="AC200" s="185"/>
      <c r="AD200" s="219"/>
      <c r="AE200" s="220"/>
      <c r="AF200" s="220"/>
      <c r="AG200" s="220"/>
      <c r="AH200" s="220"/>
      <c r="AI200" s="220"/>
      <c r="AJ200" s="220"/>
      <c r="AK200" s="220"/>
      <c r="AL200" s="220"/>
      <c r="AM200" s="220"/>
      <c r="AN200" s="220"/>
      <c r="AO200" s="220"/>
      <c r="AP200" s="220"/>
      <c r="AQ200" s="220"/>
      <c r="AR200" s="220"/>
      <c r="AS200" s="220"/>
      <c r="AT200" s="220"/>
      <c r="AU200" s="220"/>
      <c r="AV200" s="220"/>
      <c r="AW200" s="220"/>
      <c r="AX200" s="220"/>
      <c r="AY200" s="220"/>
    </row>
    <row r="201" customFormat="false" ht="15" hidden="false" customHeight="false" outlineLevel="0" collapsed="false">
      <c r="E201" s="185"/>
      <c r="H201" s="222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  <c r="AB201" s="185"/>
      <c r="AC201" s="185"/>
      <c r="AD201" s="219"/>
      <c r="AE201" s="220"/>
      <c r="AF201" s="220"/>
      <c r="AG201" s="220"/>
      <c r="AH201" s="220"/>
      <c r="AI201" s="220"/>
      <c r="AJ201" s="220"/>
      <c r="AK201" s="220"/>
      <c r="AL201" s="220"/>
      <c r="AM201" s="220"/>
      <c r="AN201" s="220"/>
      <c r="AO201" s="220"/>
      <c r="AP201" s="220"/>
      <c r="AQ201" s="220"/>
      <c r="AR201" s="220"/>
      <c r="AS201" s="220"/>
      <c r="AT201" s="220"/>
      <c r="AU201" s="220"/>
      <c r="AV201" s="220"/>
      <c r="AW201" s="220"/>
      <c r="AX201" s="220"/>
      <c r="AY201" s="220"/>
    </row>
    <row r="202" customFormat="false" ht="15" hidden="false" customHeight="false" outlineLevel="0" collapsed="false">
      <c r="E202" s="185"/>
      <c r="H202" s="222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  <c r="AB202" s="185"/>
      <c r="AC202" s="185"/>
      <c r="AD202" s="219"/>
      <c r="AE202" s="220"/>
      <c r="AF202" s="220"/>
      <c r="AG202" s="220"/>
      <c r="AH202" s="220"/>
      <c r="AI202" s="220"/>
      <c r="AJ202" s="220"/>
      <c r="AK202" s="220"/>
      <c r="AL202" s="220"/>
      <c r="AM202" s="220"/>
      <c r="AN202" s="220"/>
      <c r="AO202" s="220"/>
      <c r="AP202" s="220"/>
      <c r="AQ202" s="220"/>
      <c r="AR202" s="220"/>
      <c r="AS202" s="220"/>
      <c r="AT202" s="220"/>
      <c r="AU202" s="220"/>
      <c r="AV202" s="220"/>
      <c r="AW202" s="220"/>
      <c r="AX202" s="220"/>
      <c r="AY202" s="220"/>
    </row>
    <row r="203" customFormat="false" ht="15" hidden="false" customHeight="false" outlineLevel="0" collapsed="false">
      <c r="E203" s="185"/>
      <c r="H203" s="222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  <c r="AB203" s="185"/>
      <c r="AC203" s="185"/>
      <c r="AD203" s="219"/>
      <c r="AE203" s="220"/>
      <c r="AF203" s="220"/>
      <c r="AG203" s="220"/>
      <c r="AH203" s="220"/>
      <c r="AI203" s="220"/>
      <c r="AJ203" s="220"/>
      <c r="AK203" s="220"/>
      <c r="AL203" s="220"/>
      <c r="AM203" s="220"/>
      <c r="AN203" s="220"/>
      <c r="AO203" s="220"/>
      <c r="AP203" s="220"/>
      <c r="AQ203" s="220"/>
      <c r="AR203" s="220"/>
      <c r="AS203" s="220"/>
      <c r="AT203" s="220"/>
      <c r="AU203" s="220"/>
      <c r="AV203" s="220"/>
      <c r="AW203" s="220"/>
      <c r="AX203" s="220"/>
      <c r="AY203" s="220"/>
    </row>
    <row r="204" customFormat="false" ht="15" hidden="false" customHeight="false" outlineLevel="0" collapsed="false">
      <c r="E204" s="185"/>
      <c r="H204" s="222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  <c r="AB204" s="185"/>
      <c r="AC204" s="185"/>
      <c r="AD204" s="219"/>
      <c r="AE204" s="220"/>
      <c r="AF204" s="220"/>
      <c r="AG204" s="220"/>
      <c r="AH204" s="220"/>
      <c r="AI204" s="220"/>
      <c r="AJ204" s="220"/>
      <c r="AK204" s="220"/>
      <c r="AL204" s="220"/>
      <c r="AM204" s="220"/>
      <c r="AN204" s="220"/>
      <c r="AO204" s="220"/>
      <c r="AP204" s="220"/>
      <c r="AQ204" s="220"/>
      <c r="AR204" s="220"/>
      <c r="AS204" s="220"/>
      <c r="AT204" s="220"/>
      <c r="AU204" s="220"/>
      <c r="AV204" s="220"/>
      <c r="AW204" s="220"/>
      <c r="AX204" s="220"/>
      <c r="AY204" s="220"/>
    </row>
    <row r="205" customFormat="false" ht="15" hidden="false" customHeight="false" outlineLevel="0" collapsed="false">
      <c r="E205" s="185"/>
      <c r="H205" s="222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  <c r="AB205" s="185"/>
      <c r="AC205" s="185"/>
      <c r="AD205" s="219"/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220"/>
      <c r="AQ205" s="220"/>
      <c r="AR205" s="220"/>
      <c r="AS205" s="220"/>
      <c r="AT205" s="220"/>
      <c r="AU205" s="220"/>
      <c r="AV205" s="220"/>
      <c r="AW205" s="220"/>
      <c r="AX205" s="220"/>
      <c r="AY205" s="220"/>
    </row>
    <row r="206" customFormat="false" ht="15" hidden="false" customHeight="false" outlineLevel="0" collapsed="false">
      <c r="E206" s="185"/>
      <c r="H206" s="222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  <c r="AB206" s="185"/>
      <c r="AC206" s="185"/>
      <c r="AD206" s="219"/>
      <c r="AE206" s="220"/>
      <c r="AF206" s="220"/>
      <c r="AG206" s="220"/>
      <c r="AH206" s="220"/>
      <c r="AI206" s="220"/>
      <c r="AJ206" s="220"/>
      <c r="AK206" s="220"/>
      <c r="AL206" s="220"/>
      <c r="AM206" s="220"/>
      <c r="AN206" s="220"/>
      <c r="AO206" s="220"/>
      <c r="AP206" s="220"/>
      <c r="AQ206" s="220"/>
      <c r="AR206" s="220"/>
      <c r="AS206" s="220"/>
      <c r="AT206" s="220"/>
      <c r="AU206" s="220"/>
      <c r="AV206" s="220"/>
      <c r="AW206" s="220"/>
      <c r="AX206" s="220"/>
      <c r="AY206" s="220"/>
    </row>
    <row r="207" customFormat="false" ht="15" hidden="false" customHeight="false" outlineLevel="0" collapsed="false">
      <c r="E207" s="185"/>
      <c r="H207" s="222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  <c r="AB207" s="185"/>
      <c r="AC207" s="185"/>
      <c r="AD207" s="219"/>
      <c r="AE207" s="220"/>
      <c r="AF207" s="220"/>
      <c r="AG207" s="220"/>
      <c r="AH207" s="220"/>
      <c r="AI207" s="220"/>
      <c r="AJ207" s="220"/>
      <c r="AK207" s="220"/>
      <c r="AL207" s="220"/>
      <c r="AM207" s="220"/>
      <c r="AN207" s="220"/>
      <c r="AO207" s="220"/>
      <c r="AP207" s="220"/>
      <c r="AQ207" s="220"/>
      <c r="AR207" s="220"/>
      <c r="AS207" s="220"/>
      <c r="AT207" s="220"/>
      <c r="AU207" s="220"/>
      <c r="AV207" s="220"/>
      <c r="AW207" s="220"/>
      <c r="AX207" s="220"/>
      <c r="AY207" s="220"/>
    </row>
    <row r="208" customFormat="false" ht="15" hidden="false" customHeight="false" outlineLevel="0" collapsed="false">
      <c r="E208" s="185"/>
      <c r="H208" s="222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  <c r="AB208" s="185"/>
      <c r="AC208" s="185"/>
      <c r="AD208" s="219"/>
      <c r="AE208" s="220"/>
      <c r="AF208" s="220"/>
      <c r="AG208" s="220"/>
      <c r="AH208" s="220"/>
      <c r="AI208" s="220"/>
      <c r="AJ208" s="220"/>
      <c r="AK208" s="220"/>
      <c r="AL208" s="220"/>
      <c r="AM208" s="220"/>
      <c r="AN208" s="220"/>
      <c r="AO208" s="220"/>
      <c r="AP208" s="220"/>
      <c r="AQ208" s="220"/>
      <c r="AR208" s="220"/>
      <c r="AS208" s="220"/>
      <c r="AT208" s="220"/>
      <c r="AU208" s="220"/>
      <c r="AV208" s="220"/>
      <c r="AW208" s="220"/>
      <c r="AX208" s="220"/>
      <c r="AY208" s="220"/>
    </row>
    <row r="209" customFormat="false" ht="15" hidden="false" customHeight="false" outlineLevel="0" collapsed="false">
      <c r="E209" s="185"/>
      <c r="H209" s="222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185"/>
      <c r="AD209" s="219"/>
      <c r="AE209" s="220"/>
      <c r="AF209" s="220"/>
      <c r="AG209" s="220"/>
      <c r="AH209" s="220"/>
      <c r="AI209" s="220"/>
      <c r="AJ209" s="220"/>
      <c r="AK209" s="220"/>
      <c r="AL209" s="220"/>
      <c r="AM209" s="220"/>
      <c r="AN209" s="220"/>
      <c r="AO209" s="220"/>
      <c r="AP209" s="220"/>
      <c r="AQ209" s="220"/>
      <c r="AR209" s="220"/>
      <c r="AS209" s="220"/>
      <c r="AT209" s="220"/>
      <c r="AU209" s="220"/>
      <c r="AV209" s="220"/>
      <c r="AW209" s="220"/>
      <c r="AX209" s="220"/>
      <c r="AY209" s="220"/>
    </row>
    <row r="210" customFormat="false" ht="15" hidden="false" customHeight="false" outlineLevel="0" collapsed="false">
      <c r="E210" s="185"/>
      <c r="H210" s="222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  <c r="AB210" s="185"/>
      <c r="AC210" s="185"/>
      <c r="AD210" s="219"/>
      <c r="AE210" s="220"/>
      <c r="AF210" s="220"/>
      <c r="AG210" s="220"/>
      <c r="AH210" s="220"/>
      <c r="AI210" s="220"/>
      <c r="AJ210" s="220"/>
      <c r="AK210" s="220"/>
      <c r="AL210" s="220"/>
      <c r="AM210" s="220"/>
      <c r="AN210" s="220"/>
      <c r="AO210" s="220"/>
      <c r="AP210" s="220"/>
      <c r="AQ210" s="220"/>
      <c r="AR210" s="220"/>
      <c r="AS210" s="220"/>
      <c r="AT210" s="220"/>
      <c r="AU210" s="220"/>
      <c r="AV210" s="220"/>
      <c r="AW210" s="220"/>
      <c r="AX210" s="220"/>
      <c r="AY210" s="220"/>
    </row>
    <row r="211" customFormat="false" ht="15" hidden="false" customHeight="false" outlineLevel="0" collapsed="false">
      <c r="E211" s="185"/>
      <c r="H211" s="222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  <c r="AB211" s="185"/>
      <c r="AC211" s="185"/>
      <c r="AD211" s="219"/>
      <c r="AE211" s="220"/>
      <c r="AF211" s="220"/>
      <c r="AG211" s="220"/>
      <c r="AH211" s="220"/>
      <c r="AI211" s="220"/>
      <c r="AJ211" s="220"/>
      <c r="AK211" s="220"/>
      <c r="AL211" s="220"/>
      <c r="AM211" s="220"/>
      <c r="AN211" s="220"/>
      <c r="AO211" s="220"/>
      <c r="AP211" s="220"/>
      <c r="AQ211" s="220"/>
      <c r="AR211" s="220"/>
      <c r="AS211" s="220"/>
      <c r="AT211" s="220"/>
      <c r="AU211" s="220"/>
      <c r="AV211" s="220"/>
      <c r="AW211" s="220"/>
      <c r="AX211" s="220"/>
      <c r="AY211" s="220"/>
    </row>
    <row r="212" customFormat="false" ht="15" hidden="false" customHeight="false" outlineLevel="0" collapsed="false">
      <c r="E212" s="185"/>
      <c r="H212" s="222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  <c r="AB212" s="185"/>
      <c r="AC212" s="185"/>
      <c r="AD212" s="219"/>
      <c r="AE212" s="220"/>
      <c r="AF212" s="220"/>
      <c r="AG212" s="220"/>
      <c r="AH212" s="220"/>
      <c r="AI212" s="220"/>
      <c r="AJ212" s="220"/>
      <c r="AK212" s="220"/>
      <c r="AL212" s="220"/>
      <c r="AM212" s="220"/>
      <c r="AN212" s="220"/>
      <c r="AO212" s="220"/>
      <c r="AP212" s="220"/>
      <c r="AQ212" s="220"/>
      <c r="AR212" s="220"/>
      <c r="AS212" s="220"/>
      <c r="AT212" s="220"/>
      <c r="AU212" s="220"/>
      <c r="AV212" s="220"/>
      <c r="AW212" s="220"/>
      <c r="AX212" s="220"/>
      <c r="AY212" s="220"/>
    </row>
    <row r="213" customFormat="false" ht="15" hidden="false" customHeight="false" outlineLevel="0" collapsed="false">
      <c r="E213" s="185"/>
      <c r="H213" s="222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  <c r="AB213" s="185"/>
      <c r="AC213" s="185"/>
      <c r="AD213" s="219"/>
      <c r="AE213" s="220"/>
      <c r="AF213" s="220"/>
      <c r="AG213" s="220"/>
      <c r="AH213" s="220"/>
      <c r="AI213" s="220"/>
      <c r="AJ213" s="220"/>
      <c r="AK213" s="220"/>
      <c r="AL213" s="220"/>
      <c r="AM213" s="220"/>
      <c r="AN213" s="220"/>
      <c r="AO213" s="220"/>
      <c r="AP213" s="220"/>
      <c r="AQ213" s="220"/>
      <c r="AR213" s="220"/>
      <c r="AS213" s="220"/>
      <c r="AT213" s="220"/>
      <c r="AU213" s="220"/>
      <c r="AV213" s="220"/>
      <c r="AW213" s="220"/>
      <c r="AX213" s="220"/>
      <c r="AY213" s="220"/>
    </row>
    <row r="214" customFormat="false" ht="15" hidden="false" customHeight="false" outlineLevel="0" collapsed="false">
      <c r="E214" s="185"/>
      <c r="H214" s="222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  <c r="AB214" s="185"/>
      <c r="AC214" s="185"/>
      <c r="AD214" s="219"/>
      <c r="AE214" s="220"/>
      <c r="AF214" s="220"/>
      <c r="AG214" s="220"/>
      <c r="AH214" s="220"/>
      <c r="AI214" s="220"/>
      <c r="AJ214" s="220"/>
      <c r="AK214" s="220"/>
      <c r="AL214" s="220"/>
      <c r="AM214" s="220"/>
      <c r="AN214" s="220"/>
      <c r="AO214" s="220"/>
      <c r="AP214" s="220"/>
      <c r="AQ214" s="220"/>
      <c r="AR214" s="220"/>
      <c r="AS214" s="220"/>
      <c r="AT214" s="220"/>
      <c r="AU214" s="220"/>
      <c r="AV214" s="220"/>
      <c r="AW214" s="220"/>
      <c r="AX214" s="220"/>
      <c r="AY214" s="220"/>
    </row>
    <row r="215" customFormat="false" ht="15" hidden="false" customHeight="false" outlineLevel="0" collapsed="false">
      <c r="E215" s="185"/>
      <c r="H215" s="222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  <c r="AB215" s="185"/>
      <c r="AC215" s="185"/>
      <c r="AD215" s="219"/>
      <c r="AE215" s="220"/>
      <c r="AF215" s="220"/>
      <c r="AG215" s="220"/>
      <c r="AH215" s="220"/>
      <c r="AI215" s="220"/>
      <c r="AJ215" s="220"/>
      <c r="AK215" s="220"/>
      <c r="AL215" s="220"/>
      <c r="AM215" s="220"/>
      <c r="AN215" s="220"/>
      <c r="AO215" s="220"/>
      <c r="AP215" s="220"/>
      <c r="AQ215" s="220"/>
      <c r="AR215" s="220"/>
      <c r="AS215" s="220"/>
      <c r="AT215" s="220"/>
      <c r="AU215" s="220"/>
      <c r="AV215" s="220"/>
      <c r="AW215" s="220"/>
      <c r="AX215" s="220"/>
      <c r="AY215" s="220"/>
    </row>
    <row r="216" customFormat="false" ht="15" hidden="false" customHeight="false" outlineLevel="0" collapsed="false">
      <c r="E216" s="185"/>
      <c r="H216" s="222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  <c r="AB216" s="185"/>
      <c r="AC216" s="185"/>
      <c r="AD216" s="219"/>
      <c r="AE216" s="220"/>
      <c r="AF216" s="220"/>
      <c r="AG216" s="220"/>
      <c r="AH216" s="220"/>
      <c r="AI216" s="220"/>
      <c r="AJ216" s="220"/>
      <c r="AK216" s="220"/>
      <c r="AL216" s="220"/>
      <c r="AM216" s="220"/>
      <c r="AN216" s="220"/>
      <c r="AO216" s="220"/>
      <c r="AP216" s="220"/>
      <c r="AQ216" s="220"/>
      <c r="AR216" s="220"/>
      <c r="AS216" s="220"/>
      <c r="AT216" s="220"/>
      <c r="AU216" s="220"/>
      <c r="AV216" s="220"/>
      <c r="AW216" s="220"/>
      <c r="AX216" s="220"/>
      <c r="AY216" s="220"/>
    </row>
    <row r="217" customFormat="false" ht="15" hidden="false" customHeight="false" outlineLevel="0" collapsed="false">
      <c r="E217" s="185"/>
      <c r="H217" s="222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  <c r="AB217" s="185"/>
      <c r="AC217" s="185"/>
      <c r="AD217" s="219"/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220"/>
      <c r="AQ217" s="220"/>
      <c r="AR217" s="220"/>
      <c r="AS217" s="220"/>
      <c r="AT217" s="220"/>
      <c r="AU217" s="220"/>
      <c r="AV217" s="220"/>
      <c r="AW217" s="220"/>
      <c r="AX217" s="220"/>
      <c r="AY217" s="220"/>
    </row>
    <row r="218" customFormat="false" ht="15" hidden="false" customHeight="false" outlineLevel="0" collapsed="false">
      <c r="E218" s="185"/>
      <c r="H218" s="222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  <c r="AB218" s="185"/>
      <c r="AC218" s="185"/>
      <c r="AD218" s="219"/>
      <c r="AE218" s="220"/>
      <c r="AF218" s="220"/>
      <c r="AG218" s="220"/>
      <c r="AH218" s="220"/>
      <c r="AI218" s="220"/>
      <c r="AJ218" s="220"/>
      <c r="AK218" s="220"/>
      <c r="AL218" s="220"/>
      <c r="AM218" s="220"/>
      <c r="AN218" s="220"/>
      <c r="AO218" s="220"/>
      <c r="AP218" s="220"/>
      <c r="AQ218" s="220"/>
      <c r="AR218" s="220"/>
      <c r="AS218" s="220"/>
      <c r="AT218" s="220"/>
      <c r="AU218" s="220"/>
      <c r="AV218" s="220"/>
      <c r="AW218" s="220"/>
      <c r="AX218" s="220"/>
      <c r="AY218" s="220"/>
    </row>
    <row r="219" customFormat="false" ht="15" hidden="false" customHeight="false" outlineLevel="0" collapsed="false">
      <c r="E219" s="185"/>
      <c r="H219" s="222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  <c r="AB219" s="185"/>
      <c r="AC219" s="185"/>
      <c r="AD219" s="219"/>
      <c r="AE219" s="220"/>
      <c r="AF219" s="220"/>
      <c r="AG219" s="220"/>
      <c r="AH219" s="220"/>
      <c r="AI219" s="220"/>
      <c r="AJ219" s="220"/>
      <c r="AK219" s="220"/>
      <c r="AL219" s="220"/>
      <c r="AM219" s="220"/>
      <c r="AN219" s="220"/>
      <c r="AO219" s="220"/>
      <c r="AP219" s="220"/>
      <c r="AQ219" s="220"/>
      <c r="AR219" s="220"/>
      <c r="AS219" s="220"/>
      <c r="AT219" s="220"/>
      <c r="AU219" s="220"/>
      <c r="AV219" s="220"/>
      <c r="AW219" s="220"/>
      <c r="AX219" s="220"/>
      <c r="AY219" s="220"/>
    </row>
    <row r="220" customFormat="false" ht="15" hidden="false" customHeight="false" outlineLevel="0" collapsed="false">
      <c r="E220" s="185"/>
      <c r="H220" s="222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  <c r="AB220" s="185"/>
      <c r="AC220" s="185"/>
      <c r="AD220" s="219"/>
      <c r="AE220" s="220"/>
      <c r="AF220" s="220"/>
      <c r="AG220" s="220"/>
      <c r="AH220" s="220"/>
      <c r="AI220" s="220"/>
      <c r="AJ220" s="220"/>
      <c r="AK220" s="220"/>
      <c r="AL220" s="220"/>
      <c r="AM220" s="220"/>
      <c r="AN220" s="220"/>
      <c r="AO220" s="220"/>
      <c r="AP220" s="220"/>
      <c r="AQ220" s="220"/>
      <c r="AR220" s="220"/>
      <c r="AS220" s="220"/>
      <c r="AT220" s="220"/>
      <c r="AU220" s="220"/>
      <c r="AV220" s="220"/>
      <c r="AW220" s="220"/>
      <c r="AX220" s="220"/>
      <c r="AY220" s="220"/>
    </row>
    <row r="221" customFormat="false" ht="15" hidden="false" customHeight="false" outlineLevel="0" collapsed="false">
      <c r="E221" s="185"/>
      <c r="H221" s="222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  <c r="AB221" s="185"/>
      <c r="AC221" s="185"/>
      <c r="AD221" s="219"/>
      <c r="AE221" s="220"/>
      <c r="AF221" s="220"/>
      <c r="AG221" s="220"/>
      <c r="AH221" s="220"/>
      <c r="AI221" s="220"/>
      <c r="AJ221" s="220"/>
      <c r="AK221" s="220"/>
      <c r="AL221" s="220"/>
      <c r="AM221" s="220"/>
      <c r="AN221" s="220"/>
      <c r="AO221" s="220"/>
      <c r="AP221" s="220"/>
      <c r="AQ221" s="220"/>
      <c r="AR221" s="220"/>
      <c r="AS221" s="220"/>
      <c r="AT221" s="220"/>
      <c r="AU221" s="220"/>
      <c r="AV221" s="220"/>
      <c r="AW221" s="220"/>
      <c r="AX221" s="220"/>
      <c r="AY221" s="220"/>
    </row>
    <row r="222" customFormat="false" ht="15" hidden="false" customHeight="false" outlineLevel="0" collapsed="false">
      <c r="E222" s="185"/>
      <c r="H222" s="222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  <c r="AB222" s="185"/>
      <c r="AC222" s="185"/>
      <c r="AD222" s="219"/>
      <c r="AE222" s="220"/>
      <c r="AF222" s="220"/>
      <c r="AG222" s="220"/>
      <c r="AH222" s="220"/>
      <c r="AI222" s="220"/>
      <c r="AJ222" s="220"/>
      <c r="AK222" s="220"/>
      <c r="AL222" s="220"/>
      <c r="AM222" s="220"/>
      <c r="AN222" s="220"/>
      <c r="AO222" s="220"/>
      <c r="AP222" s="220"/>
      <c r="AQ222" s="220"/>
      <c r="AR222" s="220"/>
      <c r="AS222" s="220"/>
      <c r="AT222" s="220"/>
      <c r="AU222" s="220"/>
      <c r="AV222" s="220"/>
      <c r="AW222" s="220"/>
      <c r="AX222" s="220"/>
      <c r="AY222" s="220"/>
    </row>
    <row r="223" customFormat="false" ht="15" hidden="false" customHeight="false" outlineLevel="0" collapsed="false">
      <c r="E223" s="185"/>
      <c r="H223" s="222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  <c r="AB223" s="185"/>
      <c r="AC223" s="185"/>
      <c r="AD223" s="219"/>
      <c r="AE223" s="220"/>
      <c r="AF223" s="220"/>
      <c r="AG223" s="220"/>
      <c r="AH223" s="220"/>
      <c r="AI223" s="220"/>
      <c r="AJ223" s="220"/>
      <c r="AK223" s="220"/>
      <c r="AL223" s="220"/>
      <c r="AM223" s="220"/>
      <c r="AN223" s="220"/>
      <c r="AO223" s="220"/>
      <c r="AP223" s="220"/>
      <c r="AQ223" s="220"/>
      <c r="AR223" s="220"/>
      <c r="AS223" s="220"/>
      <c r="AT223" s="220"/>
      <c r="AU223" s="220"/>
      <c r="AV223" s="220"/>
      <c r="AW223" s="220"/>
      <c r="AX223" s="220"/>
      <c r="AY223" s="220"/>
    </row>
    <row r="224" customFormat="false" ht="15" hidden="false" customHeight="false" outlineLevel="0" collapsed="false">
      <c r="E224" s="185"/>
      <c r="H224" s="222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5"/>
      <c r="AD224" s="219"/>
      <c r="AE224" s="220"/>
      <c r="AF224" s="220"/>
      <c r="AG224" s="220"/>
      <c r="AH224" s="220"/>
      <c r="AI224" s="220"/>
      <c r="AJ224" s="220"/>
      <c r="AK224" s="220"/>
      <c r="AL224" s="220"/>
      <c r="AM224" s="220"/>
      <c r="AN224" s="220"/>
      <c r="AO224" s="220"/>
      <c r="AP224" s="220"/>
      <c r="AQ224" s="220"/>
      <c r="AR224" s="220"/>
      <c r="AS224" s="220"/>
      <c r="AT224" s="220"/>
      <c r="AU224" s="220"/>
      <c r="AV224" s="220"/>
      <c r="AW224" s="220"/>
      <c r="AX224" s="220"/>
      <c r="AY224" s="220"/>
    </row>
    <row r="225" customFormat="false" ht="15" hidden="false" customHeight="false" outlineLevel="0" collapsed="false">
      <c r="E225" s="185"/>
      <c r="H225" s="222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  <c r="AB225" s="185"/>
      <c r="AC225" s="185"/>
      <c r="AD225" s="219"/>
      <c r="AE225" s="220"/>
      <c r="AF225" s="220"/>
      <c r="AG225" s="220"/>
      <c r="AH225" s="220"/>
      <c r="AI225" s="220"/>
      <c r="AJ225" s="220"/>
      <c r="AK225" s="220"/>
      <c r="AL225" s="220"/>
      <c r="AM225" s="220"/>
      <c r="AN225" s="220"/>
      <c r="AO225" s="220"/>
      <c r="AP225" s="220"/>
      <c r="AQ225" s="220"/>
      <c r="AR225" s="220"/>
      <c r="AS225" s="220"/>
      <c r="AT225" s="220"/>
      <c r="AU225" s="220"/>
      <c r="AV225" s="220"/>
      <c r="AW225" s="220"/>
      <c r="AX225" s="220"/>
      <c r="AY225" s="220"/>
    </row>
    <row r="226" customFormat="false" ht="15" hidden="false" customHeight="false" outlineLevel="0" collapsed="false">
      <c r="E226" s="185"/>
      <c r="H226" s="222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  <c r="AB226" s="185"/>
      <c r="AC226" s="185"/>
      <c r="AD226" s="219"/>
      <c r="AE226" s="220"/>
      <c r="AF226" s="220"/>
      <c r="AG226" s="220"/>
      <c r="AH226" s="220"/>
      <c r="AI226" s="220"/>
      <c r="AJ226" s="220"/>
      <c r="AK226" s="220"/>
      <c r="AL226" s="220"/>
      <c r="AM226" s="220"/>
      <c r="AN226" s="220"/>
      <c r="AO226" s="220"/>
      <c r="AP226" s="220"/>
      <c r="AQ226" s="220"/>
      <c r="AR226" s="220"/>
      <c r="AS226" s="220"/>
      <c r="AT226" s="220"/>
      <c r="AU226" s="220"/>
      <c r="AV226" s="220"/>
      <c r="AW226" s="220"/>
      <c r="AX226" s="220"/>
      <c r="AY226" s="220"/>
    </row>
    <row r="227" customFormat="false" ht="15" hidden="false" customHeight="false" outlineLevel="0" collapsed="false">
      <c r="E227" s="185"/>
      <c r="H227" s="222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  <c r="AB227" s="185"/>
      <c r="AC227" s="185"/>
      <c r="AD227" s="219"/>
      <c r="AE227" s="220"/>
      <c r="AF227" s="220"/>
      <c r="AG227" s="220"/>
      <c r="AH227" s="220"/>
      <c r="AI227" s="220"/>
      <c r="AJ227" s="220"/>
      <c r="AK227" s="220"/>
      <c r="AL227" s="220"/>
      <c r="AM227" s="220"/>
      <c r="AN227" s="220"/>
      <c r="AO227" s="220"/>
      <c r="AP227" s="220"/>
      <c r="AQ227" s="220"/>
      <c r="AR227" s="220"/>
      <c r="AS227" s="220"/>
      <c r="AT227" s="220"/>
      <c r="AU227" s="220"/>
      <c r="AV227" s="220"/>
      <c r="AW227" s="220"/>
      <c r="AX227" s="220"/>
      <c r="AY227" s="2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227"/>
  <sheetViews>
    <sheetView windowProtection="true" showFormulas="false" showGridLines="true" showRowColHeaders="true" showZeros="true" rightToLeft="false" tabSelected="false" showOutlineSymbols="true" defaultGridColor="true" view="normal" topLeftCell="AC1" colorId="64" zoomScale="70" zoomScaleNormal="70" zoomScalePageLayoutView="100" workbookViewId="0">
      <pane xSplit="0" ySplit="5" topLeftCell="A6" activePane="bottomLeft" state="frozen"/>
      <selection pane="topLeft" activeCell="AC1" activeCellId="0" sqref="AC1"/>
      <selection pane="bottomLeft" activeCell="BE166" activeCellId="1" sqref="M57:AC68 BE166"/>
    </sheetView>
  </sheetViews>
  <sheetFormatPr defaultRowHeight="15"/>
  <cols>
    <col collapsed="false" hidden="false" max="1" min="1" style="18" width="28.484693877551"/>
    <col collapsed="false" hidden="false" max="2" min="2" style="18" width="14.7142857142857"/>
    <col collapsed="false" hidden="false" max="3" min="3" style="18" width="8.63775510204082"/>
    <col collapsed="false" hidden="false" max="4" min="4" style="18" width="23.219387755102"/>
    <col collapsed="false" hidden="false" max="7" min="5" style="18" width="8.63775510204082"/>
    <col collapsed="false" hidden="false" max="8" min="8" style="211" width="8.63775510204082"/>
    <col collapsed="false" hidden="false" max="29" min="9" style="18" width="8.63775510204082"/>
    <col collapsed="false" hidden="false" max="30" min="30" style="211" width="8.63775510204082"/>
    <col collapsed="false" hidden="false" max="51" min="31" style="18" width="8.63775510204082"/>
    <col collapsed="false" hidden="false" max="52" min="52" style="211" width="8.63775510204082"/>
    <col collapsed="false" hidden="false" max="1025" min="53" style="18" width="8.6377551020408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44" t="n">
        <f aca="false">40*365/1000</f>
        <v>14.6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44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44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</row>
    <row r="2" customFormat="false" ht="15" hidden="false" customHeight="false" outlineLevel="0" collapsed="false">
      <c r="A2" s="1" t="s">
        <v>667</v>
      </c>
      <c r="B2" s="197" t="n">
        <v>10</v>
      </c>
      <c r="C2" s="212" t="s">
        <v>169</v>
      </c>
      <c r="D2" s="0"/>
      <c r="E2" s="0"/>
      <c r="F2" s="0"/>
      <c r="G2" s="18" t="s">
        <v>668</v>
      </c>
      <c r="H2" s="44"/>
      <c r="I2" s="0"/>
      <c r="J2" s="0"/>
      <c r="K2" s="0"/>
      <c r="L2" s="0"/>
      <c r="M2" s="189" t="n">
        <v>2020</v>
      </c>
      <c r="N2" s="189" t="n">
        <v>2025</v>
      </c>
      <c r="O2" s="189" t="n">
        <v>2030</v>
      </c>
      <c r="P2" s="189" t="n">
        <v>2035</v>
      </c>
      <c r="Q2" s="189" t="n">
        <v>2040</v>
      </c>
      <c r="R2" s="189" t="n">
        <v>2045</v>
      </c>
      <c r="S2" s="189" t="n">
        <v>2050</v>
      </c>
      <c r="T2" s="189" t="n">
        <v>2055</v>
      </c>
      <c r="U2" s="189" t="n">
        <v>2060</v>
      </c>
      <c r="V2" s="189" t="n">
        <v>2065</v>
      </c>
      <c r="W2" s="189" t="n">
        <v>2070</v>
      </c>
      <c r="X2" s="189" t="n">
        <v>2075</v>
      </c>
      <c r="Y2" s="189" t="n">
        <v>2080</v>
      </c>
      <c r="Z2" s="189" t="n">
        <v>2085</v>
      </c>
      <c r="AA2" s="189" t="n">
        <v>2090</v>
      </c>
      <c r="AB2" s="189" t="n">
        <v>2095</v>
      </c>
      <c r="AC2" s="189" t="n">
        <v>2100</v>
      </c>
      <c r="AD2" s="44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44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</row>
    <row r="3" customFormat="false" ht="15" hidden="false" customHeight="false" outlineLevel="0" collapsed="false">
      <c r="A3" s="213" t="s">
        <v>669</v>
      </c>
      <c r="B3" s="214" t="n">
        <f aca="false">Control!G14</f>
        <v>0</v>
      </c>
      <c r="C3" s="0" t="s">
        <v>670</v>
      </c>
      <c r="D3" s="0"/>
      <c r="E3" s="0"/>
      <c r="F3" s="18" t="n">
        <v>24.5</v>
      </c>
      <c r="G3" s="18" t="n">
        <v>0.5</v>
      </c>
      <c r="H3" s="44"/>
      <c r="I3" s="0"/>
      <c r="J3" s="0"/>
      <c r="K3" s="0"/>
      <c r="L3" s="0" t="s">
        <v>671</v>
      </c>
      <c r="M3" s="0" t="n">
        <f aca="false">1+1/(1+EXP(-$B$4*(M$5-$S$5)))</f>
        <v>1.04742587317757</v>
      </c>
      <c r="N3" s="0" t="n">
        <f aca="false">1+1/(1+EXP(-$B$4*(N$5-$S$5)))</f>
        <v>1.07585818002124</v>
      </c>
      <c r="O3" s="0" t="n">
        <f aca="false">1+1/(1+EXP(-$B$4*(O$5-$S$5)))</f>
        <v>1.11920292202212</v>
      </c>
      <c r="P3" s="0" t="n">
        <f aca="false">1+1/(1+EXP(-$B$4*(P$5-$S$5)))</f>
        <v>1.18242552380636</v>
      </c>
      <c r="Q3" s="0" t="n">
        <f aca="false">1+1/(1+EXP(-$B$4*(Q$5-$S$5)))</f>
        <v>1.26894142137</v>
      </c>
      <c r="R3" s="0" t="n">
        <f aca="false">1+1/(1+EXP(-$B$4*(R$5-$S$5)))</f>
        <v>1.37754066879815</v>
      </c>
      <c r="S3" s="0" t="n">
        <f aca="false">1+1/(1+EXP(-$B$4*(S$5-$S$5)))</f>
        <v>1.5</v>
      </c>
      <c r="T3" s="0" t="n">
        <f aca="false">1+1/(1+EXP(-$B$4*(T$5-$S$5)))</f>
        <v>1.62245933120185</v>
      </c>
      <c r="U3" s="0" t="n">
        <f aca="false">1+1/(1+EXP(-$B$4*(U$5-$S$5)))</f>
        <v>1.73105857863</v>
      </c>
      <c r="V3" s="0" t="n">
        <f aca="false">1+1/(1+EXP(-$B$4*(V$5-$S$5)))</f>
        <v>1.81757447619364</v>
      </c>
      <c r="W3" s="0" t="n">
        <f aca="false">1+1/(1+EXP(-$B$4*(W$5-$S$5)))</f>
        <v>1.88079707797788</v>
      </c>
      <c r="X3" s="0" t="n">
        <f aca="false">1+1/(1+EXP(-$B$4*(X$5-$S$5)))</f>
        <v>1.92414181997876</v>
      </c>
      <c r="Y3" s="0" t="n">
        <f aca="false">1+1/(1+EXP(-$B$4*(Y$5-$S$5)))</f>
        <v>1.95257412682243</v>
      </c>
      <c r="Z3" s="0" t="n">
        <f aca="false">1+1/(1+EXP(-$B$4*(Z$5-$S$5)))</f>
        <v>1.97068776924864</v>
      </c>
      <c r="AA3" s="0" t="n">
        <f aca="false">1+1/(1+EXP(-$B$4*(AA$5-$S$5)))</f>
        <v>1.98201379003791</v>
      </c>
      <c r="AB3" s="0" t="n">
        <f aca="false">1+1/(1+EXP(-$B$4*(AB$5-$S$5)))</f>
        <v>1.98901305736941</v>
      </c>
      <c r="AC3" s="0" t="n">
        <f aca="false">1+1/(1+EXP(-$B$4*(AC$5-$S$5)))</f>
        <v>1.99330714907572</v>
      </c>
      <c r="AD3" s="44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44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</row>
    <row r="4" customFormat="false" ht="15" hidden="false" customHeight="false" outlineLevel="0" collapsed="false">
      <c r="A4" s="0" t="s">
        <v>672</v>
      </c>
      <c r="B4" s="0" t="n">
        <v>0.1</v>
      </c>
      <c r="C4" s="0"/>
      <c r="D4" s="0"/>
      <c r="E4" s="212" t="s">
        <v>169</v>
      </c>
      <c r="F4" s="0"/>
      <c r="G4" s="0"/>
      <c r="H4" s="215" t="s">
        <v>673</v>
      </c>
      <c r="I4" s="201"/>
      <c r="J4" s="201"/>
      <c r="K4" s="201"/>
      <c r="L4" s="201"/>
      <c r="M4" s="201"/>
      <c r="N4" s="0"/>
      <c r="O4" s="0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16" t="s">
        <v>674</v>
      </c>
      <c r="AE4" s="201"/>
      <c r="AF4" s="201"/>
      <c r="AG4" s="201"/>
      <c r="AH4" s="201"/>
      <c r="AI4" s="201"/>
      <c r="AJ4" s="0"/>
      <c r="AK4" s="201"/>
      <c r="AL4" s="201"/>
      <c r="AM4" s="201"/>
      <c r="AN4" s="201"/>
      <c r="AO4" s="201"/>
      <c r="AP4" s="201"/>
      <c r="AQ4" s="201"/>
      <c r="AR4" s="201"/>
      <c r="AS4" s="201"/>
      <c r="AT4" s="201"/>
      <c r="AU4" s="201"/>
      <c r="AV4" s="201"/>
      <c r="AW4" s="201"/>
      <c r="AX4" s="201"/>
      <c r="AY4" s="201"/>
      <c r="AZ4" s="215" t="s">
        <v>675</v>
      </c>
      <c r="BA4" s="201"/>
      <c r="BB4" s="201"/>
      <c r="BC4" s="201"/>
      <c r="BD4" s="201"/>
      <c r="BE4" s="201"/>
      <c r="BF4" s="0"/>
      <c r="BG4" s="201"/>
      <c r="BH4" s="201"/>
      <c r="BI4" s="201"/>
      <c r="BJ4" s="201"/>
      <c r="BK4" s="201"/>
      <c r="BL4" s="201"/>
      <c r="BM4" s="201"/>
      <c r="BN4" s="201"/>
      <c r="BO4" s="201"/>
      <c r="BP4" s="201"/>
      <c r="BQ4" s="201"/>
      <c r="BR4" s="201"/>
      <c r="BS4" s="201"/>
      <c r="BT4" s="201"/>
      <c r="BU4" s="201"/>
    </row>
    <row r="5" customFormat="false" ht="15" hidden="false" customHeight="false" outlineLevel="0" collapsed="false">
      <c r="A5" s="189" t="s">
        <v>676</v>
      </c>
      <c r="B5" s="189" t="s">
        <v>677</v>
      </c>
      <c r="C5" s="189" t="s">
        <v>678</v>
      </c>
      <c r="D5" s="189" t="s">
        <v>679</v>
      </c>
      <c r="E5" s="189" t="s">
        <v>673</v>
      </c>
      <c r="F5" s="16" t="s">
        <v>680</v>
      </c>
      <c r="G5" s="16" t="s">
        <v>681</v>
      </c>
      <c r="H5" s="217" t="n">
        <v>1975</v>
      </c>
      <c r="I5" s="189" t="n">
        <v>1990</v>
      </c>
      <c r="J5" s="189" t="n">
        <v>2005</v>
      </c>
      <c r="K5" s="189" t="n">
        <v>2010</v>
      </c>
      <c r="L5" s="189" t="n">
        <v>2015</v>
      </c>
      <c r="M5" s="189" t="n">
        <v>2020</v>
      </c>
      <c r="N5" s="189" t="n">
        <v>2025</v>
      </c>
      <c r="O5" s="189" t="n">
        <v>2030</v>
      </c>
      <c r="P5" s="189" t="n">
        <v>2035</v>
      </c>
      <c r="Q5" s="189" t="n">
        <v>2040</v>
      </c>
      <c r="R5" s="189" t="n">
        <v>2045</v>
      </c>
      <c r="S5" s="189" t="n">
        <v>2050</v>
      </c>
      <c r="T5" s="189" t="n">
        <v>2055</v>
      </c>
      <c r="U5" s="189" t="n">
        <v>2060</v>
      </c>
      <c r="V5" s="189" t="n">
        <v>2065</v>
      </c>
      <c r="W5" s="189" t="n">
        <v>2070</v>
      </c>
      <c r="X5" s="189" t="n">
        <v>2075</v>
      </c>
      <c r="Y5" s="189" t="n">
        <v>2080</v>
      </c>
      <c r="Z5" s="189" t="n">
        <v>2085</v>
      </c>
      <c r="AA5" s="189" t="n">
        <v>2090</v>
      </c>
      <c r="AB5" s="189" t="n">
        <v>2095</v>
      </c>
      <c r="AC5" s="189" t="n">
        <v>2100</v>
      </c>
      <c r="AD5" s="217" t="n">
        <v>1975</v>
      </c>
      <c r="AE5" s="189" t="n">
        <v>1990</v>
      </c>
      <c r="AF5" s="189" t="n">
        <v>2005</v>
      </c>
      <c r="AG5" s="189" t="n">
        <v>2010</v>
      </c>
      <c r="AH5" s="189" t="n">
        <v>2015</v>
      </c>
      <c r="AI5" s="189" t="n">
        <v>2020</v>
      </c>
      <c r="AJ5" s="189" t="n">
        <v>2025</v>
      </c>
      <c r="AK5" s="189" t="n">
        <v>2030</v>
      </c>
      <c r="AL5" s="189" t="n">
        <v>2035</v>
      </c>
      <c r="AM5" s="189" t="n">
        <v>2040</v>
      </c>
      <c r="AN5" s="189" t="n">
        <v>2045</v>
      </c>
      <c r="AO5" s="189" t="n">
        <v>2050</v>
      </c>
      <c r="AP5" s="189" t="n">
        <v>2055</v>
      </c>
      <c r="AQ5" s="189" t="n">
        <v>2060</v>
      </c>
      <c r="AR5" s="189" t="n">
        <v>2065</v>
      </c>
      <c r="AS5" s="189" t="n">
        <v>2070</v>
      </c>
      <c r="AT5" s="189" t="n">
        <v>2075</v>
      </c>
      <c r="AU5" s="189" t="n">
        <v>2080</v>
      </c>
      <c r="AV5" s="189" t="n">
        <v>2085</v>
      </c>
      <c r="AW5" s="189" t="n">
        <v>2090</v>
      </c>
      <c r="AX5" s="189" t="n">
        <v>2095</v>
      </c>
      <c r="AY5" s="189" t="n">
        <v>2100</v>
      </c>
      <c r="AZ5" s="217" t="n">
        <v>1975</v>
      </c>
      <c r="BA5" s="189" t="n">
        <v>1990</v>
      </c>
      <c r="BB5" s="189" t="n">
        <v>2005</v>
      </c>
      <c r="BC5" s="189" t="n">
        <v>2010</v>
      </c>
      <c r="BD5" s="189" t="n">
        <v>2015</v>
      </c>
      <c r="BE5" s="189" t="n">
        <v>2020</v>
      </c>
      <c r="BF5" s="189" t="n">
        <v>2025</v>
      </c>
      <c r="BG5" s="189" t="n">
        <v>2030</v>
      </c>
      <c r="BH5" s="189" t="n">
        <v>2035</v>
      </c>
      <c r="BI5" s="189" t="n">
        <v>2040</v>
      </c>
      <c r="BJ5" s="189" t="n">
        <v>2045</v>
      </c>
      <c r="BK5" s="189" t="n">
        <v>2050</v>
      </c>
      <c r="BL5" s="189" t="n">
        <v>2055</v>
      </c>
      <c r="BM5" s="189" t="n">
        <v>2060</v>
      </c>
      <c r="BN5" s="189" t="n">
        <v>2065</v>
      </c>
      <c r="BO5" s="189" t="n">
        <v>2070</v>
      </c>
      <c r="BP5" s="189" t="n">
        <v>2075</v>
      </c>
      <c r="BQ5" s="189" t="n">
        <v>2080</v>
      </c>
      <c r="BR5" s="189" t="n">
        <v>2085</v>
      </c>
      <c r="BS5" s="189" t="n">
        <v>2090</v>
      </c>
      <c r="BT5" s="189" t="n">
        <v>2095</v>
      </c>
      <c r="BU5" s="189" t="n">
        <v>2100</v>
      </c>
    </row>
    <row r="6" customFormat="false" ht="15" hidden="false" customHeight="false" outlineLevel="0" collapsed="false">
      <c r="A6" s="18" t="s">
        <v>50</v>
      </c>
      <c r="B6" s="18" t="s">
        <v>22</v>
      </c>
      <c r="C6" s="18" t="s">
        <v>682</v>
      </c>
      <c r="D6" s="18" t="s">
        <v>682</v>
      </c>
      <c r="E6" s="28" t="n">
        <v>6.794475</v>
      </c>
      <c r="F6" s="185" t="n">
        <f aca="false">E6/$B$2*$F$3/1000</f>
        <v>0.01664646375</v>
      </c>
      <c r="G6" s="18" t="n">
        <f aca="false">LOOKUP(RIGHT(D6,5),Ref!$C$4:$C$21,Ref!$E$4:$E$21)*$G$3</f>
        <v>3</v>
      </c>
      <c r="H6" s="218" t="n">
        <f aca="false">$E6</f>
        <v>6.794475</v>
      </c>
      <c r="I6" s="177" t="n">
        <f aca="false">$E6</f>
        <v>6.794475</v>
      </c>
      <c r="J6" s="177" t="n">
        <f aca="false">$E6</f>
        <v>6.794475</v>
      </c>
      <c r="K6" s="177" t="n">
        <f aca="false">$E6</f>
        <v>6.794475</v>
      </c>
      <c r="L6" s="177" t="n">
        <f aca="false">$E6</f>
        <v>6.794475</v>
      </c>
      <c r="M6" s="177" t="n">
        <f aca="false">M$3*$E6</f>
        <v>7.11670890965815</v>
      </c>
      <c r="N6" s="177" t="n">
        <f aca="false">N$3*$E6</f>
        <v>7.30989150769984</v>
      </c>
      <c r="O6" s="177" t="n">
        <f aca="false">O$3*$E6</f>
        <v>7.60439627360623</v>
      </c>
      <c r="P6" s="177" t="n">
        <f aca="false">P$3*$E6</f>
        <v>8.03396066086419</v>
      </c>
      <c r="Q6" s="177" t="n">
        <f aca="false">Q$3*$E6</f>
        <v>8.6217907639629</v>
      </c>
      <c r="R6" s="177" t="n">
        <f aca="false">R$3*$E6</f>
        <v>9.35966563563228</v>
      </c>
      <c r="S6" s="177" t="n">
        <f aca="false">S$3*$E6</f>
        <v>10.1917125</v>
      </c>
      <c r="T6" s="177" t="n">
        <f aca="false">T$3*$E6</f>
        <v>11.0237593643677</v>
      </c>
      <c r="U6" s="177" t="n">
        <f aca="false">U$3*$E6</f>
        <v>11.7616342360371</v>
      </c>
      <c r="V6" s="177" t="n">
        <f aca="false">V$3*$E6</f>
        <v>12.3494643391358</v>
      </c>
      <c r="W6" s="177" t="n">
        <f aca="false">W$3*$E6</f>
        <v>12.7790287263938</v>
      </c>
      <c r="X6" s="177" t="n">
        <f aca="false">X$3*$E6</f>
        <v>13.0735334923002</v>
      </c>
      <c r="Y6" s="177" t="n">
        <f aca="false">Y$3*$E6</f>
        <v>13.2667160903419</v>
      </c>
      <c r="Z6" s="177" t="n">
        <f aca="false">Z$3*$E6</f>
        <v>13.3897887809657</v>
      </c>
      <c r="AA6" s="177" t="n">
        <f aca="false">AA$3*$E6</f>
        <v>13.4667431460678</v>
      </c>
      <c r="AB6" s="177" t="n">
        <f aca="false">AB$3*$E6</f>
        <v>13.51429949297</v>
      </c>
      <c r="AC6" s="177" t="n">
        <f aca="false">AC$3*$E6</f>
        <v>13.5434755917162</v>
      </c>
      <c r="AD6" s="219" t="n">
        <f aca="false">Algae_electricity_factor/H6</f>
        <v>0.00202276071418752</v>
      </c>
      <c r="AE6" s="220" t="n">
        <f aca="false">Algae_electricity_factor/I6</f>
        <v>0.00202276071418752</v>
      </c>
      <c r="AF6" s="220" t="n">
        <f aca="false">Algae_electricity_factor/J6</f>
        <v>0.00202276071418752</v>
      </c>
      <c r="AG6" s="220" t="n">
        <f aca="false">Algae_electricity_factor/K6</f>
        <v>0.00202276071418752</v>
      </c>
      <c r="AH6" s="220" t="n">
        <f aca="false">Algae_electricity_factor/L6</f>
        <v>0.00202276071418752</v>
      </c>
      <c r="AI6" s="220" t="n">
        <f aca="false">Algae_electricity_factor/M6</f>
        <v>0.001931173141686</v>
      </c>
      <c r="AJ6" s="220" t="n">
        <f aca="false">Algae_electricity_factor/N6</f>
        <v>0.00188013694718349</v>
      </c>
      <c r="AK6" s="220" t="n">
        <f aca="false">Algae_electricity_factor/O6</f>
        <v>0.00180732258144296</v>
      </c>
      <c r="AL6" s="220" t="n">
        <f aca="false">Algae_electricity_factor/P6</f>
        <v>0.00171068762764528</v>
      </c>
      <c r="AM6" s="220" t="n">
        <f aca="false">Algae_electricity_factor/Q6</f>
        <v>0.00159405365773597</v>
      </c>
      <c r="AN6" s="220" t="n">
        <f aca="false">Algae_electricity_factor/R6</f>
        <v>0.00146838547855891</v>
      </c>
      <c r="AO6" s="220" t="n">
        <f aca="false">Algae_electricity_factor/S6</f>
        <v>0.00134850714279168</v>
      </c>
      <c r="AP6" s="220" t="n">
        <f aca="false">Algae_electricity_factor/T6</f>
        <v>0.00124672506440524</v>
      </c>
      <c r="AQ6" s="220" t="n">
        <f aca="false">Algae_electricity_factor/U6</f>
        <v>0.00116851084022146</v>
      </c>
      <c r="AR6" s="220" t="n">
        <f aca="false">Algae_electricity_factor/V6</f>
        <v>0.00111289014050394</v>
      </c>
      <c r="AS6" s="220" t="n">
        <f aca="false">Algae_electricity_factor/W6</f>
        <v>0.00107548057037725</v>
      </c>
      <c r="AT6" s="220" t="n">
        <f aca="false">Algae_electricity_factor/X6</f>
        <v>0.00105125344357925</v>
      </c>
      <c r="AU6" s="220" t="n">
        <f aca="false">Algae_electricity_factor/Y6</f>
        <v>0.00103594567110203</v>
      </c>
      <c r="AV6" s="220" t="n">
        <f aca="false">Algae_electricity_factor/Z6</f>
        <v>0.00102642374187908</v>
      </c>
      <c r="AW6" s="220" t="n">
        <f aca="false">Algae_electricity_factor/AA6</f>
        <v>0.00102055834543353</v>
      </c>
      <c r="AX6" s="220" t="n">
        <f aca="false">Algae_electricity_factor/AB6</f>
        <v>0.00101696703633648</v>
      </c>
      <c r="AY6" s="220" t="n">
        <f aca="false">Algae_electricity_factor/AC6</f>
        <v>0.00101477623010857</v>
      </c>
      <c r="AZ6" s="221" t="n">
        <f aca="false">Algae_yield_cost_factor/H6</f>
        <v>0.111979603911445</v>
      </c>
      <c r="BA6" s="197" t="n">
        <f aca="false">Algae_yield_cost_factor/I6</f>
        <v>0.111979603911445</v>
      </c>
      <c r="BB6" s="197" t="n">
        <f aca="false">Algae_yield_cost_factor/J6</f>
        <v>0.111979603911445</v>
      </c>
      <c r="BC6" s="197" t="n">
        <f aca="false">Algae_yield_cost_factor/K6</f>
        <v>0.111979603911445</v>
      </c>
      <c r="BD6" s="197" t="n">
        <f aca="false">Algae_yield_cost_factor/L6</f>
        <v>0.111979603911445</v>
      </c>
      <c r="BE6" s="197" t="n">
        <f aca="false">Algae_yield_cost_factor/M6</f>
        <v>0.10690933533247</v>
      </c>
      <c r="BF6" s="197" t="n">
        <f aca="false">Algae_yield_cost_factor/N6</f>
        <v>0.104083982434594</v>
      </c>
      <c r="BG6" s="197" t="n">
        <f aca="false">Algae_yield_cost_factor/O6</f>
        <v>0.100052994598269</v>
      </c>
      <c r="BH6" s="197" t="n">
        <f aca="false">Algae_yield_cost_factor/P6</f>
        <v>0.0947033040617821</v>
      </c>
      <c r="BI6" s="197" t="n">
        <f aca="false">Algae_yield_cost_factor/Q6</f>
        <v>0.0882464722371094</v>
      </c>
      <c r="BJ6" s="197" t="n">
        <f aca="false">Algae_yield_cost_factor/R6</f>
        <v>0.0812895085044157</v>
      </c>
      <c r="BK6" s="197" t="n">
        <f aca="false">Algae_yield_cost_factor/S6</f>
        <v>0.0746530692742969</v>
      </c>
      <c r="BL6" s="197" t="n">
        <f aca="false">Algae_yield_cost_factor/T6</f>
        <v>0.0690184350127872</v>
      </c>
      <c r="BM6" s="197" t="n">
        <f aca="false">Algae_yield_cost_factor/U6</f>
        <v>0.0646885121588828</v>
      </c>
      <c r="BN6" s="197" t="n">
        <f aca="false">Algae_yield_cost_factor/V6</f>
        <v>0.0616093620251273</v>
      </c>
      <c r="BO6" s="197" t="n">
        <f aca="false">Algae_yield_cost_factor/W6</f>
        <v>0.0595383761611534</v>
      </c>
      <c r="BP6" s="197" t="n">
        <f aca="false">Algae_yield_cost_factor/X6</f>
        <v>0.0581971675625665</v>
      </c>
      <c r="BQ6" s="197" t="n">
        <f aca="false">Algae_yield_cost_factor/Y6</f>
        <v>0.0573497325265074</v>
      </c>
      <c r="BR6" s="197" t="n">
        <f aca="false">Algae_yield_cost_factor/Z6</f>
        <v>0.0568226005452601</v>
      </c>
      <c r="BS6" s="197" t="n">
        <f aca="false">Algae_yield_cost_factor/AA6</f>
        <v>0.0564978934426605</v>
      </c>
      <c r="BT6" s="197" t="n">
        <f aca="false">Algae_yield_cost_factor/AB6</f>
        <v>0.0562990793331168</v>
      </c>
      <c r="BU6" s="197" t="n">
        <f aca="false">Algae_yield_cost_factor/AC6</f>
        <v>0.0561777967652249</v>
      </c>
    </row>
    <row r="7" customFormat="false" ht="15" hidden="false" customHeight="false" outlineLevel="0" collapsed="false">
      <c r="A7" s="18" t="s">
        <v>50</v>
      </c>
      <c r="B7" s="18" t="s">
        <v>22</v>
      </c>
      <c r="C7" s="18" t="s">
        <v>683</v>
      </c>
      <c r="D7" s="18" t="s">
        <v>683</v>
      </c>
      <c r="E7" s="28" t="n">
        <v>6.07068</v>
      </c>
      <c r="F7" s="185" t="n">
        <f aca="false">E7/$B$2*$F$3/1000</f>
        <v>0.014873166</v>
      </c>
      <c r="G7" s="18" t="n">
        <f aca="false">LOOKUP(RIGHT(D7,5),Ref!$C$4:$C$21,Ref!$E$4:$E$21)*$G$3</f>
        <v>3</v>
      </c>
      <c r="H7" s="218" t="n">
        <f aca="false">$E7</f>
        <v>6.07068</v>
      </c>
      <c r="I7" s="177" t="n">
        <f aca="false">$E7</f>
        <v>6.07068</v>
      </c>
      <c r="J7" s="177" t="n">
        <f aca="false">$E7</f>
        <v>6.07068</v>
      </c>
      <c r="K7" s="177" t="n">
        <f aca="false">$E7</f>
        <v>6.07068</v>
      </c>
      <c r="L7" s="177" t="n">
        <f aca="false">$E7</f>
        <v>6.07068</v>
      </c>
      <c r="M7" s="177" t="n">
        <f aca="false">M$3*$E7</f>
        <v>6.35858729978159</v>
      </c>
      <c r="N7" s="177" t="n">
        <f aca="false">N$3*$E7</f>
        <v>6.53119073629136</v>
      </c>
      <c r="O7" s="177" t="n">
        <f aca="false">O$3*$E7</f>
        <v>6.79432279466123</v>
      </c>
      <c r="P7" s="177" t="n">
        <f aca="false">P$3*$E7</f>
        <v>7.17812697886077</v>
      </c>
      <c r="Q7" s="177" t="n">
        <f aca="false">Q$3*$E7</f>
        <v>7.7033373078824</v>
      </c>
      <c r="R7" s="177" t="n">
        <f aca="false">R$3*$E7</f>
        <v>8.36260858725953</v>
      </c>
      <c r="S7" s="177" t="n">
        <f aca="false">S$3*$E7</f>
        <v>9.10602</v>
      </c>
      <c r="T7" s="177" t="n">
        <f aca="false">T$3*$E7</f>
        <v>9.84943141274047</v>
      </c>
      <c r="U7" s="177" t="n">
        <f aca="false">U$3*$E7</f>
        <v>10.5087026921176</v>
      </c>
      <c r="V7" s="177" t="n">
        <f aca="false">V$3*$E7</f>
        <v>11.0339130211392</v>
      </c>
      <c r="W7" s="177" t="n">
        <f aca="false">W$3*$E7</f>
        <v>11.4177172053388</v>
      </c>
      <c r="X7" s="177" t="n">
        <f aca="false">X$3*$E7</f>
        <v>11.6808492637086</v>
      </c>
      <c r="Y7" s="177" t="n">
        <f aca="false">Y$3*$E7</f>
        <v>11.8534527002184</v>
      </c>
      <c r="Z7" s="177" t="n">
        <f aca="false">Z$3*$E7</f>
        <v>11.9634148270224</v>
      </c>
      <c r="AA7" s="177" t="n">
        <f aca="false">AA$3*$E7</f>
        <v>12.0321714749073</v>
      </c>
      <c r="AB7" s="177" t="n">
        <f aca="false">AB$3*$E7</f>
        <v>12.0746617871113</v>
      </c>
      <c r="AC7" s="177" t="n">
        <f aca="false">AC$3*$E7</f>
        <v>12.100729843751</v>
      </c>
      <c r="AD7" s="219" t="n">
        <f aca="false">Algae_electricity_factor/H7</f>
        <v>0.00226393041694328</v>
      </c>
      <c r="AE7" s="220" t="n">
        <f aca="false">Algae_electricity_factor/I7</f>
        <v>0.00226393041694328</v>
      </c>
      <c r="AF7" s="220" t="n">
        <f aca="false">Algae_electricity_factor/J7</f>
        <v>0.00226393041694328</v>
      </c>
      <c r="AG7" s="220" t="n">
        <f aca="false">Algae_electricity_factor/K7</f>
        <v>0.00226393041694328</v>
      </c>
      <c r="AH7" s="220" t="n">
        <f aca="false">Algae_electricity_factor/L7</f>
        <v>0.00226393041694328</v>
      </c>
      <c r="AI7" s="220" t="n">
        <f aca="false">Algae_electricity_factor/M7</f>
        <v>0.00216142304187619</v>
      </c>
      <c r="AJ7" s="220" t="n">
        <f aca="false">Algae_electricity_factor/N7</f>
        <v>0.00210430190427012</v>
      </c>
      <c r="AK7" s="220" t="n">
        <f aca="false">Algae_electricity_factor/O7</f>
        <v>0.00202280602775137</v>
      </c>
      <c r="AL7" s="220" t="n">
        <f aca="false">Algae_electricity_factor/P7</f>
        <v>0.00191464948224007</v>
      </c>
      <c r="AM7" s="220" t="n">
        <f aca="false">Algae_electricity_factor/Q7</f>
        <v>0.00178410947803963</v>
      </c>
      <c r="AN7" s="220" t="n">
        <f aca="false">Algae_electricity_factor/R7</f>
        <v>0.001643458133921</v>
      </c>
      <c r="AO7" s="220" t="n">
        <f aca="false">Algae_electricity_factor/S7</f>
        <v>0.00150928694462886</v>
      </c>
      <c r="AP7" s="220" t="n">
        <f aca="false">Algae_electricity_factor/T7</f>
        <v>0.00139536959318805</v>
      </c>
      <c r="AQ7" s="220" t="n">
        <f aca="false">Algae_electricity_factor/U7</f>
        <v>0.00130783004393474</v>
      </c>
      <c r="AR7" s="220" t="n">
        <f aca="false">Algae_electricity_factor/V7</f>
        <v>0.00124557779975234</v>
      </c>
      <c r="AS7" s="220" t="n">
        <f aca="false">Algae_electricity_factor/W7</f>
        <v>0.00120370796161451</v>
      </c>
      <c r="AT7" s="220" t="n">
        <f aca="false">Algae_electricity_factor/X7</f>
        <v>0.00117659228308248</v>
      </c>
      <c r="AU7" s="220" t="n">
        <f aca="false">Algae_electricity_factor/Y7</f>
        <v>0.0011594593955967</v>
      </c>
      <c r="AV7" s="220" t="n">
        <f aca="false">Algae_electricity_factor/Z7</f>
        <v>0.00114880218585131</v>
      </c>
      <c r="AW7" s="220" t="n">
        <f aca="false">Algae_electricity_factor/AA7</f>
        <v>0.00114223746995221</v>
      </c>
      <c r="AX7" s="220" t="n">
        <f aca="false">Algae_electricity_factor/AB7</f>
        <v>0.00113821797627486</v>
      </c>
      <c r="AY7" s="220" t="n">
        <f aca="false">Algae_electricity_factor/AC7</f>
        <v>0.00113576596461466</v>
      </c>
      <c r="AZ7" s="221" t="n">
        <f aca="false">Algae_yield_cost_factor/H7</f>
        <v>0.125330707480252</v>
      </c>
      <c r="BA7" s="197" t="n">
        <f aca="false">Algae_yield_cost_factor/I7</f>
        <v>0.125330707480252</v>
      </c>
      <c r="BB7" s="197" t="n">
        <f aca="false">Algae_yield_cost_factor/J7</f>
        <v>0.125330707480252</v>
      </c>
      <c r="BC7" s="197" t="n">
        <f aca="false">Algae_yield_cost_factor/K7</f>
        <v>0.125330707480252</v>
      </c>
      <c r="BD7" s="197" t="n">
        <f aca="false">Algae_yield_cost_factor/L7</f>
        <v>0.125330707480252</v>
      </c>
      <c r="BE7" s="197" t="n">
        <f aca="false">Algae_yield_cost_factor/M7</f>
        <v>0.119655920948408</v>
      </c>
      <c r="BF7" s="197" t="n">
        <f aca="false">Algae_yield_cost_factor/N7</f>
        <v>0.116493706891532</v>
      </c>
      <c r="BG7" s="197" t="n">
        <f aca="false">Algae_yield_cost_factor/O7</f>
        <v>0.111982112460725</v>
      </c>
      <c r="BH7" s="197" t="n">
        <f aca="false">Algae_yield_cost_factor/P7</f>
        <v>0.105994589051832</v>
      </c>
      <c r="BI7" s="197" t="n">
        <f aca="false">Algae_yield_cost_factor/Q7</f>
        <v>0.0987679221196363</v>
      </c>
      <c r="BJ7" s="197" t="n">
        <f aca="false">Algae_yield_cost_factor/R7</f>
        <v>0.0909814935551767</v>
      </c>
      <c r="BK7" s="197" t="n">
        <f aca="false">Algae_yield_cost_factor/S7</f>
        <v>0.0835538049868348</v>
      </c>
      <c r="BL7" s="197" t="n">
        <f aca="false">Algae_yield_cost_factor/T7</f>
        <v>0.077247364584117</v>
      </c>
      <c r="BM7" s="197" t="n">
        <f aca="false">Algae_yield_cost_factor/U7</f>
        <v>0.0724011937131796</v>
      </c>
      <c r="BN7" s="197" t="n">
        <f aca="false">Algae_yield_cost_factor/V7</f>
        <v>0.0689549226850496</v>
      </c>
      <c r="BO7" s="197" t="n">
        <f aca="false">Algae_yield_cost_factor/W7</f>
        <v>0.0666370173304396</v>
      </c>
      <c r="BP7" s="197" t="n">
        <f aca="false">Algae_yield_cost_factor/X7</f>
        <v>0.0651358991208018</v>
      </c>
      <c r="BQ7" s="197" t="n">
        <f aca="false">Algae_yield_cost_factor/Y7</f>
        <v>0.0641874261051549</v>
      </c>
      <c r="BR7" s="197" t="n">
        <f aca="false">Algae_yield_cost_factor/Z7</f>
        <v>0.06359744523509</v>
      </c>
      <c r="BS7" s="197" t="n">
        <f aca="false">Algae_yield_cost_factor/AA7</f>
        <v>0.0632340239559358</v>
      </c>
      <c r="BT7" s="197" t="n">
        <f aca="false">Algae_yield_cost_factor/AB7</f>
        <v>0.063011505638887</v>
      </c>
      <c r="BU7" s="197" t="n">
        <f aca="false">Algae_yield_cost_factor/AC7</f>
        <v>0.0628757627936906</v>
      </c>
    </row>
    <row r="8" customFormat="false" ht="15" hidden="false" customHeight="false" outlineLevel="0" collapsed="false">
      <c r="A8" s="18" t="s">
        <v>50</v>
      </c>
      <c r="B8" s="18" t="s">
        <v>22</v>
      </c>
      <c r="C8" s="18" t="s">
        <v>684</v>
      </c>
      <c r="D8" s="18" t="s">
        <v>684</v>
      </c>
      <c r="E8" s="28" t="n">
        <v>6.035202</v>
      </c>
      <c r="F8" s="185" t="n">
        <f aca="false">E8/$B$2*$F$3/1000</f>
        <v>0.0147862449</v>
      </c>
      <c r="G8" s="18" t="n">
        <f aca="false">LOOKUP(RIGHT(D8,5),Ref!$C$4:$C$21,Ref!$E$4:$E$21)*$G$3</f>
        <v>3.5</v>
      </c>
      <c r="H8" s="218" t="n">
        <f aca="false">$E8</f>
        <v>6.035202</v>
      </c>
      <c r="I8" s="177" t="n">
        <f aca="false">$E8</f>
        <v>6.035202</v>
      </c>
      <c r="J8" s="177" t="n">
        <f aca="false">$E8</f>
        <v>6.035202</v>
      </c>
      <c r="K8" s="177" t="n">
        <f aca="false">$E8</f>
        <v>6.035202</v>
      </c>
      <c r="L8" s="177" t="n">
        <f aca="false">$E8</f>
        <v>6.035202</v>
      </c>
      <c r="M8" s="177" t="n">
        <f aca="false">M$3*$E8</f>
        <v>6.321426724653</v>
      </c>
      <c r="N8" s="177" t="n">
        <f aca="false">N$3*$E8</f>
        <v>6.49302143978057</v>
      </c>
      <c r="O8" s="177" t="n">
        <f aca="false">O$3*$E8</f>
        <v>6.75461571339373</v>
      </c>
      <c r="P8" s="177" t="n">
        <f aca="false">P$3*$E8</f>
        <v>7.13617688612717</v>
      </c>
      <c r="Q8" s="177" t="n">
        <f aca="false">Q$3*$E8</f>
        <v>7.65831780413504</v>
      </c>
      <c r="R8" s="177" t="n">
        <f aca="false">R$3*$E8</f>
        <v>8.31373619941191</v>
      </c>
      <c r="S8" s="177" t="n">
        <f aca="false">S$3*$E8</f>
        <v>9.052803</v>
      </c>
      <c r="T8" s="177" t="n">
        <f aca="false">T$3*$E8</f>
        <v>9.79186980058809</v>
      </c>
      <c r="U8" s="177" t="n">
        <f aca="false">U$3*$E8</f>
        <v>10.447288195865</v>
      </c>
      <c r="V8" s="177" t="n">
        <f aca="false">V$3*$E8</f>
        <v>10.9694291138728</v>
      </c>
      <c r="W8" s="177" t="n">
        <f aca="false">W$3*$E8</f>
        <v>11.3509902866063</v>
      </c>
      <c r="X8" s="177" t="n">
        <f aca="false">X$3*$E8</f>
        <v>11.6125845602194</v>
      </c>
      <c r="Y8" s="177" t="n">
        <f aca="false">Y$3*$E8</f>
        <v>11.784179275347</v>
      </c>
      <c r="Z8" s="177" t="n">
        <f aca="false">Z$3*$E8</f>
        <v>11.893498766345</v>
      </c>
      <c r="AA8" s="177" t="n">
        <f aca="false">AA$3*$E8</f>
        <v>11.9618535896644</v>
      </c>
      <c r="AB8" s="177" t="n">
        <f aca="false">AB$3*$E8</f>
        <v>12.004095581862</v>
      </c>
      <c r="AC8" s="177" t="n">
        <f aca="false">AC$3*$E8</f>
        <v>12.0300112927161</v>
      </c>
      <c r="AD8" s="219" t="n">
        <f aca="false">Algae_electricity_factor/H8</f>
        <v>0.00227723895629827</v>
      </c>
      <c r="AE8" s="220" t="n">
        <f aca="false">Algae_electricity_factor/I8</f>
        <v>0.00227723895629827</v>
      </c>
      <c r="AF8" s="220" t="n">
        <f aca="false">Algae_electricity_factor/J8</f>
        <v>0.00227723895629827</v>
      </c>
      <c r="AG8" s="220" t="n">
        <f aca="false">Algae_electricity_factor/K8</f>
        <v>0.00227723895629827</v>
      </c>
      <c r="AH8" s="220" t="n">
        <f aca="false">Algae_electricity_factor/L8</f>
        <v>0.00227723895629827</v>
      </c>
      <c r="AI8" s="220" t="n">
        <f aca="false">Algae_electricity_factor/M8</f>
        <v>0.0021741289905221</v>
      </c>
      <c r="AJ8" s="220" t="n">
        <f aca="false">Algae_electricity_factor/N8</f>
        <v>0.002116672065693</v>
      </c>
      <c r="AK8" s="220" t="n">
        <f aca="false">Algae_electricity_factor/O8</f>
        <v>0.00203469711478583</v>
      </c>
      <c r="AL8" s="220" t="n">
        <f aca="false">Algae_electricity_factor/P8</f>
        <v>0.00192590476985611</v>
      </c>
      <c r="AM8" s="220" t="n">
        <f aca="false">Algae_electricity_factor/Q8</f>
        <v>0.00179459738483411</v>
      </c>
      <c r="AN8" s="220" t="n">
        <f aca="false">Algae_electricity_factor/R8</f>
        <v>0.00165311922027324</v>
      </c>
      <c r="AO8" s="220" t="n">
        <f aca="false">Algae_electricity_factor/S8</f>
        <v>0.00151815930419885</v>
      </c>
      <c r="AP8" s="220" t="n">
        <f aca="false">Algae_electricity_factor/T8</f>
        <v>0.00140357228837988</v>
      </c>
      <c r="AQ8" s="220" t="n">
        <f aca="false">Algae_electricity_factor/U8</f>
        <v>0.00131551813694285</v>
      </c>
      <c r="AR8" s="220" t="n">
        <f aca="false">Algae_electricity_factor/V8</f>
        <v>0.00125289994227211</v>
      </c>
      <c r="AS8" s="220" t="n">
        <f aca="false">Algae_electricity_factor/W8</f>
        <v>0.00121078397183955</v>
      </c>
      <c r="AT8" s="220" t="n">
        <f aca="false">Algae_electricity_factor/X8</f>
        <v>0.00118350889349903</v>
      </c>
      <c r="AU8" s="220" t="n">
        <f aca="false">Algae_electricity_factor/Y8</f>
        <v>0.00116627529014952</v>
      </c>
      <c r="AV8" s="220" t="n">
        <f aca="false">Algae_electricity_factor/Z8</f>
        <v>0.00115555543188179</v>
      </c>
      <c r="AW8" s="220" t="n">
        <f aca="false">Algae_electricity_factor/AA8</f>
        <v>0.00114895212522952</v>
      </c>
      <c r="AX8" s="220" t="n">
        <f aca="false">Algae_electricity_factor/AB8</f>
        <v>0.00114490900291528</v>
      </c>
      <c r="AY8" s="220" t="n">
        <f aca="false">Algae_electricity_factor/AC8</f>
        <v>0.00114244257707811</v>
      </c>
      <c r="AZ8" s="221" t="n">
        <f aca="false">Algae_yield_cost_factor/H8</f>
        <v>0.126067465394898</v>
      </c>
      <c r="BA8" s="197" t="n">
        <f aca="false">Algae_yield_cost_factor/I8</f>
        <v>0.126067465394898</v>
      </c>
      <c r="BB8" s="197" t="n">
        <f aca="false">Algae_yield_cost_factor/J8</f>
        <v>0.126067465394898</v>
      </c>
      <c r="BC8" s="197" t="n">
        <f aca="false">Algae_yield_cost_factor/K8</f>
        <v>0.126067465394898</v>
      </c>
      <c r="BD8" s="197" t="n">
        <f aca="false">Algae_yield_cost_factor/L8</f>
        <v>0.126067465394898</v>
      </c>
      <c r="BE8" s="197" t="n">
        <f aca="false">Algae_yield_cost_factor/M8</f>
        <v>0.120359319569267</v>
      </c>
      <c r="BF8" s="197" t="n">
        <f aca="false">Algae_yield_cost_factor/N8</f>
        <v>0.117178516402978</v>
      </c>
      <c r="BG8" s="197" t="n">
        <f aca="false">Algae_yield_cost_factor/O8</f>
        <v>0.112640400515686</v>
      </c>
      <c r="BH8" s="197" t="n">
        <f aca="false">Algae_yield_cost_factor/P8</f>
        <v>0.106617679385906</v>
      </c>
      <c r="BI8" s="197" t="n">
        <f aca="false">Algae_yield_cost_factor/Q8</f>
        <v>0.0993485304142651</v>
      </c>
      <c r="BJ8" s="197" t="n">
        <f aca="false">Algae_yield_cost_factor/R8</f>
        <v>0.0915163292455729</v>
      </c>
      <c r="BK8" s="197" t="n">
        <f aca="false">Algae_yield_cost_factor/S8</f>
        <v>0.0840449769299318</v>
      </c>
      <c r="BL8" s="197" t="n">
        <f aca="false">Algae_yield_cost_factor/T8</f>
        <v>0.0777014640493404</v>
      </c>
      <c r="BM8" s="197" t="n">
        <f aca="false">Algae_yield_cost_factor/U8</f>
        <v>0.0728268049107097</v>
      </c>
      <c r="BN8" s="197" t="n">
        <f aca="false">Algae_yield_cost_factor/V8</f>
        <v>0.0693602749411995</v>
      </c>
      <c r="BO8" s="197" t="n">
        <f aca="false">Algae_yield_cost_factor/W8</f>
        <v>0.0670287437549817</v>
      </c>
      <c r="BP8" s="197" t="n">
        <f aca="false">Algae_yield_cost_factor/X8</f>
        <v>0.0655188012057706</v>
      </c>
      <c r="BQ8" s="197" t="n">
        <f aca="false">Algae_yield_cost_factor/Y8</f>
        <v>0.0645647525812792</v>
      </c>
      <c r="BR8" s="197" t="n">
        <f aca="false">Algae_yield_cost_factor/Z8</f>
        <v>0.0639713035023113</v>
      </c>
      <c r="BS8" s="197" t="n">
        <f aca="false">Algae_yield_cost_factor/AA8</f>
        <v>0.0636057458472509</v>
      </c>
      <c r="BT8" s="197" t="n">
        <f aca="false">Algae_yield_cost_factor/AB8</f>
        <v>0.0633819194538772</v>
      </c>
      <c r="BU8" s="197" t="n">
        <f aca="false">Algae_yield_cost_factor/AC8</f>
        <v>0.0632453786429023</v>
      </c>
    </row>
    <row r="9" customFormat="false" ht="15" hidden="false" customHeight="false" outlineLevel="0" collapsed="false">
      <c r="A9" s="18" t="s">
        <v>50</v>
      </c>
      <c r="B9" s="18" t="s">
        <v>22</v>
      </c>
      <c r="C9" s="18" t="s">
        <v>685</v>
      </c>
      <c r="D9" s="18" t="s">
        <v>685</v>
      </c>
      <c r="E9" s="28" t="n">
        <v>6.5214185</v>
      </c>
      <c r="F9" s="185" t="n">
        <f aca="false">E9/$B$2*$F$3/1000</f>
        <v>0.015977475325</v>
      </c>
      <c r="G9" s="18" t="n">
        <f aca="false">LOOKUP(RIGHT(D9,5),Ref!$C$4:$C$21,Ref!$E$4:$E$21)*$G$3</f>
        <v>4</v>
      </c>
      <c r="H9" s="218" t="n">
        <f aca="false">$E9</f>
        <v>6.5214185</v>
      </c>
      <c r="I9" s="177" t="n">
        <f aca="false">$E9</f>
        <v>6.5214185</v>
      </c>
      <c r="J9" s="177" t="n">
        <f aca="false">$E9</f>
        <v>6.5214185</v>
      </c>
      <c r="K9" s="177" t="n">
        <f aca="false">$E9</f>
        <v>6.5214185</v>
      </c>
      <c r="L9" s="177" t="n">
        <f aca="false">$E9</f>
        <v>6.5214185</v>
      </c>
      <c r="M9" s="177" t="n">
        <f aca="false">M$3*$E9</f>
        <v>6.83070246671884</v>
      </c>
      <c r="N9" s="177" t="n">
        <f aca="false">N$3*$E9</f>
        <v>7.01612143856687</v>
      </c>
      <c r="O9" s="177" t="n">
        <f aca="false">O$3*$E9</f>
        <v>7.2987906409291</v>
      </c>
      <c r="P9" s="177" t="n">
        <f aca="false">P$3*$E9</f>
        <v>7.71109168582296</v>
      </c>
      <c r="Q9" s="177" t="n">
        <f aca="false">Q$3*$E9</f>
        <v>8.27529806073858</v>
      </c>
      <c r="R9" s="177" t="n">
        <f aca="false">R$3*$E9</f>
        <v>8.9835192020026</v>
      </c>
      <c r="S9" s="177" t="n">
        <f aca="false">S$3*$E9</f>
        <v>9.78212775</v>
      </c>
      <c r="T9" s="177" t="n">
        <f aca="false">T$3*$E9</f>
        <v>10.5807362979974</v>
      </c>
      <c r="U9" s="177" t="n">
        <f aca="false">U$3*$E9</f>
        <v>11.2889574392614</v>
      </c>
      <c r="V9" s="177" t="n">
        <f aca="false">V$3*$E9</f>
        <v>11.853163814177</v>
      </c>
      <c r="W9" s="177" t="n">
        <f aca="false">W$3*$E9</f>
        <v>12.2654648590709</v>
      </c>
      <c r="X9" s="177" t="n">
        <f aca="false">X$3*$E9</f>
        <v>12.5481340614331</v>
      </c>
      <c r="Y9" s="177" t="n">
        <f aca="false">Y$3*$E9</f>
        <v>12.7335530332812</v>
      </c>
      <c r="Z9" s="177" t="n">
        <f aca="false">Z$3*$E9</f>
        <v>12.8516796761018</v>
      </c>
      <c r="AA9" s="177" t="n">
        <f aca="false">AA$3*$E9</f>
        <v>12.9255413976083</v>
      </c>
      <c r="AB9" s="177" t="n">
        <f aca="false">AB$3*$E9</f>
        <v>12.9711865490704</v>
      </c>
      <c r="AC9" s="177" t="n">
        <f aca="false">AC$3*$E9</f>
        <v>12.9991901181646</v>
      </c>
      <c r="AD9" s="219" t="n">
        <f aca="false">Algae_electricity_factor/H9</f>
        <v>0.00210745516539527</v>
      </c>
      <c r="AE9" s="220" t="n">
        <f aca="false">Algae_electricity_factor/I9</f>
        <v>0.00210745516539527</v>
      </c>
      <c r="AF9" s="220" t="n">
        <f aca="false">Algae_electricity_factor/J9</f>
        <v>0.00210745516539527</v>
      </c>
      <c r="AG9" s="220" t="n">
        <f aca="false">Algae_electricity_factor/K9</f>
        <v>0.00210745516539527</v>
      </c>
      <c r="AH9" s="220" t="n">
        <f aca="false">Algae_electricity_factor/L9</f>
        <v>0.00210745516539527</v>
      </c>
      <c r="AI9" s="220" t="n">
        <f aca="false">Algae_electricity_factor/M9</f>
        <v>0.00201203275512175</v>
      </c>
      <c r="AJ9" s="220" t="n">
        <f aca="false">Algae_electricity_factor/N9</f>
        <v>0.00195885963831558</v>
      </c>
      <c r="AK9" s="220" t="n">
        <f aca="false">Algae_electricity_factor/O9</f>
        <v>0.00188299648252135</v>
      </c>
      <c r="AL9" s="220" t="n">
        <f aca="false">Algae_electricity_factor/P9</f>
        <v>0.00178231535345342</v>
      </c>
      <c r="AM9" s="220" t="n">
        <f aca="false">Algae_electricity_factor/Q9</f>
        <v>0.00166079783503322</v>
      </c>
      <c r="AN9" s="220" t="n">
        <f aca="false">Algae_electricity_factor/R9</f>
        <v>0.001529867838482</v>
      </c>
      <c r="AO9" s="220" t="n">
        <f aca="false">Algae_electricity_factor/S9</f>
        <v>0.00140497011026351</v>
      </c>
      <c r="AP9" s="220" t="n">
        <f aca="false">Algae_electricity_factor/T9</f>
        <v>0.00129892634278491</v>
      </c>
      <c r="AQ9" s="220" t="n">
        <f aca="false">Algae_electricity_factor/U9</f>
        <v>0.00121743723257658</v>
      </c>
      <c r="AR9" s="220" t="n">
        <f aca="false">Algae_electricity_factor/V9</f>
        <v>0.00115948765401278</v>
      </c>
      <c r="AS9" s="220" t="n">
        <f aca="false">Algae_electricity_factor/W9</f>
        <v>0.00112051171818125</v>
      </c>
      <c r="AT9" s="220" t="n">
        <f aca="false">Algae_electricity_factor/X9</f>
        <v>0.00109527018409617</v>
      </c>
      <c r="AU9" s="220" t="n">
        <f aca="false">Algae_electricity_factor/Y9</f>
        <v>0.00107932146413559</v>
      </c>
      <c r="AV9" s="220" t="n">
        <f aca="false">Algae_electricity_factor/Z9</f>
        <v>0.00106940084486279</v>
      </c>
      <c r="AW9" s="220" t="n">
        <f aca="false">Algae_electricity_factor/AA9</f>
        <v>0.0010632898600342</v>
      </c>
      <c r="AX9" s="220" t="n">
        <f aca="false">Algae_electricity_factor/AB9</f>
        <v>0.00105954818023292</v>
      </c>
      <c r="AY9" s="220" t="n">
        <f aca="false">Algae_electricity_factor/AC9</f>
        <v>0.00105726564336685</v>
      </c>
      <c r="AZ9" s="221" t="n">
        <f aca="false">Algae_yield_cost_factor/H9</f>
        <v>0.116668270758305</v>
      </c>
      <c r="BA9" s="197" t="n">
        <f aca="false">Algae_yield_cost_factor/I9</f>
        <v>0.116668270758305</v>
      </c>
      <c r="BB9" s="197" t="n">
        <f aca="false">Algae_yield_cost_factor/J9</f>
        <v>0.116668270758305</v>
      </c>
      <c r="BC9" s="197" t="n">
        <f aca="false">Algae_yield_cost_factor/K9</f>
        <v>0.116668270758305</v>
      </c>
      <c r="BD9" s="197" t="n">
        <f aca="false">Algae_yield_cost_factor/L9</f>
        <v>0.116668270758305</v>
      </c>
      <c r="BE9" s="197" t="n">
        <f aca="false">Algae_yield_cost_factor/M9</f>
        <v>0.111385706374017</v>
      </c>
      <c r="BF9" s="197" t="n">
        <f aca="false">Algae_yield_cost_factor/N9</f>
        <v>0.108442053910861</v>
      </c>
      <c r="BG9" s="197" t="n">
        <f aca="false">Algae_yield_cost_factor/O9</f>
        <v>0.10424228570411</v>
      </c>
      <c r="BH9" s="197" t="n">
        <f aca="false">Algae_yield_cost_factor/P9</f>
        <v>0.0986685997632535</v>
      </c>
      <c r="BI9" s="197" t="n">
        <f aca="false">Algae_yield_cost_factor/Q9</f>
        <v>0.0919414157292978</v>
      </c>
      <c r="BJ9" s="197" t="n">
        <f aca="false">Algae_yield_cost_factor/R9</f>
        <v>0.0846931589033184</v>
      </c>
      <c r="BK9" s="197" t="n">
        <f aca="false">Algae_yield_cost_factor/S9</f>
        <v>0.0777788471722032</v>
      </c>
      <c r="BL9" s="197" t="n">
        <f aca="false">Algae_yield_cost_factor/T9</f>
        <v>0.0719082867068732</v>
      </c>
      <c r="BM9" s="197" t="n">
        <f aca="false">Algae_yield_cost_factor/U9</f>
        <v>0.0673970668575748</v>
      </c>
      <c r="BN9" s="197" t="n">
        <f aca="false">Algae_yield_cost_factor/V9</f>
        <v>0.0641889904850727</v>
      </c>
      <c r="BO9" s="197" t="n">
        <f aca="false">Algae_yield_cost_factor/W9</f>
        <v>0.0620312909480588</v>
      </c>
      <c r="BP9" s="197" t="n">
        <f aca="false">Algae_yield_cost_factor/X9</f>
        <v>0.0606339249773142</v>
      </c>
      <c r="BQ9" s="197" t="n">
        <f aca="false">Algae_yield_cost_factor/Y9</f>
        <v>0.0597510072245849</v>
      </c>
      <c r="BR9" s="197" t="n">
        <f aca="false">Algae_yield_cost_factor/Z9</f>
        <v>0.0592018038467791</v>
      </c>
      <c r="BS9" s="197" t="n">
        <f aca="false">Algae_yield_cost_factor/AA9</f>
        <v>0.0588635010234078</v>
      </c>
      <c r="BT9" s="197" t="n">
        <f aca="false">Algae_yield_cost_factor/AB9</f>
        <v>0.058656362423586</v>
      </c>
      <c r="BU9" s="197" t="n">
        <f aca="false">Algae_yield_cost_factor/AC9</f>
        <v>0.0585300016670302</v>
      </c>
    </row>
    <row r="10" customFormat="false" ht="15" hidden="false" customHeight="false" outlineLevel="0" collapsed="false">
      <c r="A10" s="18" t="s">
        <v>50</v>
      </c>
      <c r="B10" s="18" t="s">
        <v>22</v>
      </c>
      <c r="C10" s="18" t="s">
        <v>686</v>
      </c>
      <c r="D10" s="18" t="s">
        <v>686</v>
      </c>
      <c r="E10" s="28" t="n">
        <v>6.07579</v>
      </c>
      <c r="F10" s="185" t="n">
        <f aca="false">E10/$B$2*$F$3/1000</f>
        <v>0.0148856855</v>
      </c>
      <c r="G10" s="18" t="n">
        <f aca="false">LOOKUP(RIGHT(D10,5),Ref!$C$4:$C$21,Ref!$E$4:$E$21)*$G$3</f>
        <v>4.5</v>
      </c>
      <c r="H10" s="218" t="n">
        <f aca="false">$E10</f>
        <v>6.07579</v>
      </c>
      <c r="I10" s="177" t="n">
        <f aca="false">$E10</f>
        <v>6.07579</v>
      </c>
      <c r="J10" s="177" t="n">
        <f aca="false">$E10</f>
        <v>6.07579</v>
      </c>
      <c r="K10" s="177" t="n">
        <f aca="false">$E10</f>
        <v>6.07579</v>
      </c>
      <c r="L10" s="177" t="n">
        <f aca="false">$E10</f>
        <v>6.07579</v>
      </c>
      <c r="M10" s="177" t="n">
        <f aca="false">M$3*$E10</f>
        <v>6.36393964599353</v>
      </c>
      <c r="N10" s="177" t="n">
        <f aca="false">N$3*$E10</f>
        <v>6.53668837159127</v>
      </c>
      <c r="O10" s="177" t="n">
        <f aca="false">O$3*$E10</f>
        <v>6.80004192159276</v>
      </c>
      <c r="P10" s="177" t="n">
        <f aca="false">P$3*$E10</f>
        <v>7.18416917328742</v>
      </c>
      <c r="Q10" s="177" t="n">
        <f aca="false">Q$3*$E10</f>
        <v>7.7098215985456</v>
      </c>
      <c r="R10" s="177" t="n">
        <f aca="false">R$3*$E10</f>
        <v>8.36964782007708</v>
      </c>
      <c r="S10" s="177" t="n">
        <f aca="false">S$3*$E10</f>
        <v>9.113685</v>
      </c>
      <c r="T10" s="177" t="n">
        <f aca="false">T$3*$E10</f>
        <v>9.85772217992291</v>
      </c>
      <c r="U10" s="177" t="n">
        <f aca="false">U$3*$E10</f>
        <v>10.5175484014544</v>
      </c>
      <c r="V10" s="177" t="n">
        <f aca="false">V$3*$E10</f>
        <v>11.0432008267126</v>
      </c>
      <c r="W10" s="177" t="n">
        <f aca="false">W$3*$E10</f>
        <v>11.4273280784072</v>
      </c>
      <c r="X10" s="177" t="n">
        <f aca="false">X$3*$E10</f>
        <v>11.6906816284087</v>
      </c>
      <c r="Y10" s="177" t="n">
        <f aca="false">Y$3*$E10</f>
        <v>11.8634303540065</v>
      </c>
      <c r="Z10" s="177" t="n">
        <f aca="false">Z$3*$E10</f>
        <v>11.9734850415232</v>
      </c>
      <c r="AA10" s="177" t="n">
        <f aca="false">AA$3*$E10</f>
        <v>12.0422995653744</v>
      </c>
      <c r="AB10" s="177" t="n">
        <f aca="false">AB$3*$E10</f>
        <v>12.0848256438345</v>
      </c>
      <c r="AC10" s="177" t="n">
        <f aca="false">AC$3*$E10</f>
        <v>12.1109156432827</v>
      </c>
      <c r="AD10" s="219" t="n">
        <f aca="false">Algae_electricity_factor/H10</f>
        <v>0.00226202635435544</v>
      </c>
      <c r="AE10" s="220" t="n">
        <f aca="false">Algae_electricity_factor/I10</f>
        <v>0.00226202635435544</v>
      </c>
      <c r="AF10" s="220" t="n">
        <f aca="false">Algae_electricity_factor/J10</f>
        <v>0.00226202635435544</v>
      </c>
      <c r="AG10" s="220" t="n">
        <f aca="false">Algae_electricity_factor/K10</f>
        <v>0.00226202635435544</v>
      </c>
      <c r="AH10" s="220" t="n">
        <f aca="false">Algae_electricity_factor/L10</f>
        <v>0.00226202635435544</v>
      </c>
      <c r="AI10" s="220" t="n">
        <f aca="false">Algae_electricity_factor/M10</f>
        <v>0.00215960519238765</v>
      </c>
      <c r="AJ10" s="220" t="n">
        <f aca="false">Algae_electricity_factor/N10</f>
        <v>0.00210253209610841</v>
      </c>
      <c r="AK10" s="220" t="n">
        <f aca="false">Algae_electricity_factor/O10</f>
        <v>0.00202110476111743</v>
      </c>
      <c r="AL10" s="220" t="n">
        <f aca="false">Algae_electricity_factor/P10</f>
        <v>0.00191303917990009</v>
      </c>
      <c r="AM10" s="220" t="n">
        <f aca="false">Algae_electricity_factor/Q10</f>
        <v>0.00178260896544245</v>
      </c>
      <c r="AN10" s="220" t="n">
        <f aca="false">Algae_electricity_factor/R10</f>
        <v>0.00164207591513721</v>
      </c>
      <c r="AO10" s="220" t="n">
        <f aca="false">Algae_electricity_factor/S10</f>
        <v>0.0015080175695703</v>
      </c>
      <c r="AP10" s="220" t="n">
        <f aca="false">Algae_electricity_factor/T10</f>
        <v>0.00139419602750833</v>
      </c>
      <c r="AQ10" s="220" t="n">
        <f aca="false">Algae_electricity_factor/U10</f>
        <v>0.00130673010277079</v>
      </c>
      <c r="AR10" s="220" t="n">
        <f aca="false">Algae_electricity_factor/V10</f>
        <v>0.00124453021539594</v>
      </c>
      <c r="AS10" s="220" t="n">
        <f aca="false">Algae_electricity_factor/W10</f>
        <v>0.00120269559158792</v>
      </c>
      <c r="AT10" s="220" t="n">
        <f aca="false">Algae_electricity_factor/X10</f>
        <v>0.00117560271850462</v>
      </c>
      <c r="AU10" s="220" t="n">
        <f aca="false">Algae_electricity_factor/Y10</f>
        <v>0.00115848424051209</v>
      </c>
      <c r="AV10" s="220" t="n">
        <f aca="false">Algae_electricity_factor/Z10</f>
        <v>0.00114783599393722</v>
      </c>
      <c r="AW10" s="220" t="n">
        <f aca="false">Algae_electricity_factor/AA10</f>
        <v>0.00114127679924577</v>
      </c>
      <c r="AX10" s="220" t="n">
        <f aca="false">Algae_electricity_factor/AB10</f>
        <v>0.00113726068613502</v>
      </c>
      <c r="AY10" s="220" t="n">
        <f aca="false">Algae_electricity_factor/AC10</f>
        <v>0.0011348107367218</v>
      </c>
      <c r="AZ10" s="221" t="n">
        <f aca="false">Algae_yield_cost_factor/H10</f>
        <v>0.125225298979428</v>
      </c>
      <c r="BA10" s="197" t="n">
        <f aca="false">Algae_yield_cost_factor/I10</f>
        <v>0.125225298979428</v>
      </c>
      <c r="BB10" s="197" t="n">
        <f aca="false">Algae_yield_cost_factor/J10</f>
        <v>0.125225298979428</v>
      </c>
      <c r="BC10" s="197" t="n">
        <f aca="false">Algae_yield_cost_factor/K10</f>
        <v>0.125225298979428</v>
      </c>
      <c r="BD10" s="197" t="n">
        <f aca="false">Algae_yield_cost_factor/L10</f>
        <v>0.125225298979428</v>
      </c>
      <c r="BE10" s="197" t="n">
        <f aca="false">Algae_yield_cost_factor/M10</f>
        <v>0.119555285186467</v>
      </c>
      <c r="BF10" s="197" t="n">
        <f aca="false">Algae_yield_cost_factor/N10</f>
        <v>0.11639573068725</v>
      </c>
      <c r="BG10" s="197" t="n">
        <f aca="false">Algae_yield_cost_factor/O10</f>
        <v>0.111887930700875</v>
      </c>
      <c r="BH10" s="197" t="n">
        <f aca="false">Algae_yield_cost_factor/P10</f>
        <v>0.105905443055994</v>
      </c>
      <c r="BI10" s="197" t="n">
        <f aca="false">Algae_yield_cost_factor/Q10</f>
        <v>0.0986848540606627</v>
      </c>
      <c r="BJ10" s="197" t="n">
        <f aca="false">Algae_yield_cost_factor/R10</f>
        <v>0.0909049742166105</v>
      </c>
      <c r="BK10" s="197" t="n">
        <f aca="false">Algae_yield_cost_factor/S10</f>
        <v>0.0834835326529519</v>
      </c>
      <c r="BL10" s="197" t="n">
        <f aca="false">Algae_yield_cost_factor/T10</f>
        <v>0.077182396237116</v>
      </c>
      <c r="BM10" s="197" t="n">
        <f aca="false">Algae_yield_cost_factor/U10</f>
        <v>0.0723403012037488</v>
      </c>
      <c r="BN10" s="197" t="n">
        <f aca="false">Algae_yield_cost_factor/V10</f>
        <v>0.0688969286373751</v>
      </c>
      <c r="BO10" s="197" t="n">
        <f aca="false">Algae_yield_cost_factor/W10</f>
        <v>0.0665809727405906</v>
      </c>
      <c r="BP10" s="197" t="n">
        <f aca="false">Algae_yield_cost_factor/X10</f>
        <v>0.0650811170357549</v>
      </c>
      <c r="BQ10" s="197" t="n">
        <f aca="false">Algae_yield_cost_factor/Y10</f>
        <v>0.0641334417265971</v>
      </c>
      <c r="BR10" s="197" t="n">
        <f aca="false">Algae_yield_cost_factor/Z10</f>
        <v>0.0635439570557501</v>
      </c>
      <c r="BS10" s="197" t="n">
        <f aca="false">Algae_yield_cost_factor/AA10</f>
        <v>0.06318084142948</v>
      </c>
      <c r="BT10" s="197" t="n">
        <f aca="false">Algae_yield_cost_factor/AB10</f>
        <v>0.0629585102598804</v>
      </c>
      <c r="BU10" s="197" t="n">
        <f aca="false">Algae_yield_cost_factor/AC10</f>
        <v>0.0628228815802392</v>
      </c>
    </row>
    <row r="11" customFormat="false" ht="15" hidden="false" customHeight="false" outlineLevel="0" collapsed="false">
      <c r="A11" s="18" t="s">
        <v>50</v>
      </c>
      <c r="B11" s="18" t="s">
        <v>22</v>
      </c>
      <c r="C11" s="18" t="s">
        <v>687</v>
      </c>
      <c r="D11" s="18" t="s">
        <v>687</v>
      </c>
      <c r="E11" s="28" t="n">
        <v>4.56907</v>
      </c>
      <c r="F11" s="185" t="n">
        <f aca="false">E11/$B$2*$F$3/1000</f>
        <v>0.0111942215</v>
      </c>
      <c r="G11" s="18" t="n">
        <f aca="false">LOOKUP(RIGHT(D11,5),Ref!$C$4:$C$21,Ref!$E$4:$E$21)*$G$3</f>
        <v>4.5</v>
      </c>
      <c r="H11" s="218" t="n">
        <f aca="false">$E11</f>
        <v>4.56907</v>
      </c>
      <c r="I11" s="177" t="n">
        <f aca="false">$E11</f>
        <v>4.56907</v>
      </c>
      <c r="J11" s="177" t="n">
        <f aca="false">$E11</f>
        <v>4.56907</v>
      </c>
      <c r="K11" s="177" t="n">
        <f aca="false">$E11</f>
        <v>4.56907</v>
      </c>
      <c r="L11" s="177" t="n">
        <f aca="false">$E11</f>
        <v>4.56907</v>
      </c>
      <c r="M11" s="177" t="n">
        <f aca="false">M$3*$E11</f>
        <v>4.78576213435943</v>
      </c>
      <c r="N11" s="177" t="n">
        <f aca="false">N$3*$E11</f>
        <v>4.91567133458966</v>
      </c>
      <c r="O11" s="177" t="n">
        <f aca="false">O$3*$E11</f>
        <v>5.1137164949236</v>
      </c>
      <c r="P11" s="177" t="n">
        <f aca="false">P$3*$E11</f>
        <v>5.40258498805791</v>
      </c>
      <c r="Q11" s="177" t="n">
        <f aca="false">Q$3*$E11</f>
        <v>5.797882180139</v>
      </c>
      <c r="R11" s="177" t="n">
        <f aca="false">R$3*$E11</f>
        <v>6.29407974358554</v>
      </c>
      <c r="S11" s="177" t="n">
        <f aca="false">S$3*$E11</f>
        <v>6.853605</v>
      </c>
      <c r="T11" s="177" t="n">
        <f aca="false">T$3*$E11</f>
        <v>7.41313025641446</v>
      </c>
      <c r="U11" s="177" t="n">
        <f aca="false">U$3*$E11</f>
        <v>7.909327819861</v>
      </c>
      <c r="V11" s="177" t="n">
        <f aca="false">V$3*$E11</f>
        <v>8.30462501194209</v>
      </c>
      <c r="W11" s="177" t="n">
        <f aca="false">W$3*$E11</f>
        <v>8.5934935050764</v>
      </c>
      <c r="X11" s="177" t="n">
        <f aca="false">X$3*$E11</f>
        <v>8.79153866541034</v>
      </c>
      <c r="Y11" s="177" t="n">
        <f aca="false">Y$3*$E11</f>
        <v>8.92144786564058</v>
      </c>
      <c r="Z11" s="177" t="n">
        <f aca="false">Z$3*$E11</f>
        <v>9.0042103658409</v>
      </c>
      <c r="AA11" s="177" t="n">
        <f aca="false">AA$3*$E11</f>
        <v>9.05595974764851</v>
      </c>
      <c r="AB11" s="177" t="n">
        <f aca="false">AB$3*$E11</f>
        <v>9.08793989003484</v>
      </c>
      <c r="AC11" s="177" t="n">
        <f aca="false">AC$3*$E11</f>
        <v>9.10755989562738</v>
      </c>
      <c r="AD11" s="219" t="n">
        <f aca="false">Algae_electricity_factor/H11</f>
        <v>0.00300796378771375</v>
      </c>
      <c r="AE11" s="220" t="n">
        <f aca="false">Algae_electricity_factor/I11</f>
        <v>0.00300796378771375</v>
      </c>
      <c r="AF11" s="220" t="n">
        <f aca="false">Algae_electricity_factor/J11</f>
        <v>0.00300796378771375</v>
      </c>
      <c r="AG11" s="220" t="n">
        <f aca="false">Algae_electricity_factor/K11</f>
        <v>0.00300796378771375</v>
      </c>
      <c r="AH11" s="220" t="n">
        <f aca="false">Algae_electricity_factor/L11</f>
        <v>0.00300796378771375</v>
      </c>
      <c r="AI11" s="220" t="n">
        <f aca="false">Algae_electricity_factor/M11</f>
        <v>0.00287176769711494</v>
      </c>
      <c r="AJ11" s="220" t="n">
        <f aca="false">Algae_electricity_factor/N11</f>
        <v>0.00279587388335362</v>
      </c>
      <c r="AK11" s="220" t="n">
        <f aca="false">Algae_electricity_factor/O11</f>
        <v>0.002687594651986</v>
      </c>
      <c r="AL11" s="220" t="n">
        <f aca="false">Algae_electricity_factor/P11</f>
        <v>0.00254389280944375</v>
      </c>
      <c r="AM11" s="220" t="n">
        <f aca="false">Algae_electricity_factor/Q11</f>
        <v>0.00237045125728991</v>
      </c>
      <c r="AN11" s="220" t="n">
        <f aca="false">Algae_electricity_factor/R11</f>
        <v>0.00218357530622895</v>
      </c>
      <c r="AO11" s="220" t="n">
        <f aca="false">Algae_electricity_factor/S11</f>
        <v>0.00200530919180917</v>
      </c>
      <c r="AP11" s="220" t="n">
        <f aca="false">Algae_electricity_factor/T11</f>
        <v>0.00185395327319888</v>
      </c>
      <c r="AQ11" s="220" t="n">
        <f aca="false">Algae_electricity_factor/U11</f>
        <v>0.00173764413570239</v>
      </c>
      <c r="AR11" s="220" t="n">
        <f aca="false">Algae_electricity_factor/V11</f>
        <v>0.00165493289387129</v>
      </c>
      <c r="AS11" s="220" t="n">
        <f aca="false">Algae_electricity_factor/W11</f>
        <v>0.00159930266956163</v>
      </c>
      <c r="AT11" s="220" t="n">
        <f aca="false">Algae_electricity_factor/X11</f>
        <v>0.00156327551144175</v>
      </c>
      <c r="AU11" s="220" t="n">
        <f aca="false">Algae_electricity_factor/Y11</f>
        <v>0.00154051195618823</v>
      </c>
      <c r="AV11" s="220" t="n">
        <f aca="false">Algae_electricity_factor/Z11</f>
        <v>0.00152635228911</v>
      </c>
      <c r="AW11" s="220" t="n">
        <f aca="false">Algae_electricity_factor/AA11</f>
        <v>0.00151763010067464</v>
      </c>
      <c r="AX11" s="220" t="n">
        <f aca="false">Algae_electricity_factor/AB11</f>
        <v>0.00151228961346889</v>
      </c>
      <c r="AY11" s="220" t="n">
        <f aca="false">Algae_electricity_factor/AC11</f>
        <v>0.00150903175614883</v>
      </c>
      <c r="AZ11" s="221" t="n">
        <f aca="false">Algae_yield_cost_factor/H11</f>
        <v>0.166520237003639</v>
      </c>
      <c r="BA11" s="197" t="n">
        <f aca="false">Algae_yield_cost_factor/I11</f>
        <v>0.166520237003639</v>
      </c>
      <c r="BB11" s="197" t="n">
        <f aca="false">Algae_yield_cost_factor/J11</f>
        <v>0.166520237003639</v>
      </c>
      <c r="BC11" s="197" t="n">
        <f aca="false">Algae_yield_cost_factor/K11</f>
        <v>0.166520237003639</v>
      </c>
      <c r="BD11" s="197" t="n">
        <f aca="false">Algae_yield_cost_factor/L11</f>
        <v>0.166520237003639</v>
      </c>
      <c r="BE11" s="197" t="n">
        <f aca="false">Algae_yield_cost_factor/M11</f>
        <v>0.158980450328641</v>
      </c>
      <c r="BF11" s="197" t="n">
        <f aca="false">Algae_yield_cost_factor/N11</f>
        <v>0.154778984903337</v>
      </c>
      <c r="BG11" s="197" t="n">
        <f aca="false">Algae_yield_cost_factor/O11</f>
        <v>0.148784669631472</v>
      </c>
      <c r="BH11" s="197" t="n">
        <f aca="false">Algae_yield_cost_factor/P11</f>
        <v>0.140829366121591</v>
      </c>
      <c r="BI11" s="197" t="n">
        <f aca="false">Algae_yield_cost_factor/Q11</f>
        <v>0.131227678598322</v>
      </c>
      <c r="BJ11" s="197" t="n">
        <f aca="false">Algae_yield_cost_factor/R11</f>
        <v>0.120882265602309</v>
      </c>
      <c r="BK11" s="197" t="n">
        <f aca="false">Algae_yield_cost_factor/S11</f>
        <v>0.111013491335759</v>
      </c>
      <c r="BL11" s="197" t="n">
        <f aca="false">Algae_yield_cost_factor/T11</f>
        <v>0.102634459798932</v>
      </c>
      <c r="BM11" s="197" t="n">
        <f aca="false">Algae_yield_cost_factor/U11</f>
        <v>0.0961956106277043</v>
      </c>
      <c r="BN11" s="197" t="n">
        <f aca="false">Algae_yield_cost_factor/V11</f>
        <v>0.0916167338311028</v>
      </c>
      <c r="BO11" s="197" t="n">
        <f aca="false">Algae_yield_cost_factor/W11</f>
        <v>0.0885370564179478</v>
      </c>
      <c r="BP11" s="197" t="n">
        <f aca="false">Algae_yield_cost_factor/X11</f>
        <v>0.0865426005893254</v>
      </c>
      <c r="BQ11" s="197" t="n">
        <f aca="false">Algae_yield_cost_factor/Y11</f>
        <v>0.0852824150008736</v>
      </c>
      <c r="BR11" s="197" t="n">
        <f aca="false">Algae_yield_cost_factor/Z11</f>
        <v>0.0844985388360774</v>
      </c>
      <c r="BS11" s="197" t="n">
        <f aca="false">Algae_yield_cost_factor/AA11</f>
        <v>0.0840156803351274</v>
      </c>
      <c r="BT11" s="197" t="n">
        <f aca="false">Algae_yield_cost_factor/AB11</f>
        <v>0.0837200320966583</v>
      </c>
      <c r="BU11" s="197" t="n">
        <f aca="false">Algae_yield_cost_factor/AC11</f>
        <v>0.0835396778067312</v>
      </c>
    </row>
    <row r="12" customFormat="false" ht="15" hidden="false" customHeight="false" outlineLevel="0" collapsed="false">
      <c r="A12" s="18" t="s">
        <v>50</v>
      </c>
      <c r="B12" s="18" t="s">
        <v>22</v>
      </c>
      <c r="C12" s="18" t="s">
        <v>688</v>
      </c>
      <c r="D12" s="18" t="s">
        <v>688</v>
      </c>
      <c r="E12" s="28" t="n">
        <v>4.897716</v>
      </c>
      <c r="F12" s="185" t="n">
        <f aca="false">E12/$B$2*$F$3/1000</f>
        <v>0.0119994042</v>
      </c>
      <c r="G12" s="18" t="n">
        <f aca="false">LOOKUP(RIGHT(D12,5),Ref!$C$4:$C$21,Ref!$E$4:$E$21)*$G$3</f>
        <v>4.5</v>
      </c>
      <c r="H12" s="218" t="n">
        <f aca="false">$E12</f>
        <v>4.897716</v>
      </c>
      <c r="I12" s="177" t="n">
        <f aca="false">$E12</f>
        <v>4.897716</v>
      </c>
      <c r="J12" s="177" t="n">
        <f aca="false">$E12</f>
        <v>4.897716</v>
      </c>
      <c r="K12" s="177" t="n">
        <f aca="false">$E12</f>
        <v>4.897716</v>
      </c>
      <c r="L12" s="177" t="n">
        <f aca="false">$E12</f>
        <v>4.897716</v>
      </c>
      <c r="M12" s="177" t="n">
        <f aca="false">M$3*$E12</f>
        <v>5.12999445787574</v>
      </c>
      <c r="N12" s="177" t="n">
        <f aca="false">N$3*$E12</f>
        <v>5.26924782202092</v>
      </c>
      <c r="O12" s="177" t="n">
        <f aca="false">O$3*$E12</f>
        <v>5.48153805843448</v>
      </c>
      <c r="P12" s="177" t="n">
        <f aca="false">P$3*$E12</f>
        <v>5.79118440675477</v>
      </c>
      <c r="Q12" s="177" t="n">
        <f aca="false">Q$3*$E12</f>
        <v>6.21491470250657</v>
      </c>
      <c r="R12" s="177" t="n">
        <f aca="false">R$3*$E12</f>
        <v>6.74680297422338</v>
      </c>
      <c r="S12" s="177" t="n">
        <f aca="false">S$3*$E12</f>
        <v>7.346574</v>
      </c>
      <c r="T12" s="177" t="n">
        <f aca="false">T$3*$E12</f>
        <v>7.94634502577662</v>
      </c>
      <c r="U12" s="177" t="n">
        <f aca="false">U$3*$E12</f>
        <v>8.47823329749343</v>
      </c>
      <c r="V12" s="177" t="n">
        <f aca="false">V$3*$E12</f>
        <v>8.90196359324523</v>
      </c>
      <c r="W12" s="177" t="n">
        <f aca="false">W$3*$E12</f>
        <v>9.21160994156552</v>
      </c>
      <c r="X12" s="177" t="n">
        <f aca="false">X$3*$E12</f>
        <v>9.42390017797908</v>
      </c>
      <c r="Y12" s="177" t="n">
        <f aca="false">Y$3*$E12</f>
        <v>9.56315354212426</v>
      </c>
      <c r="Z12" s="177" t="n">
        <f aca="false">Z$3*$E12</f>
        <v>9.65186901845339</v>
      </c>
      <c r="AA12" s="177" t="n">
        <f aca="false">AA$3*$E12</f>
        <v>9.70734065168931</v>
      </c>
      <c r="AB12" s="177" t="n">
        <f aca="false">AB$3*$E12</f>
        <v>9.74162107528706</v>
      </c>
      <c r="AC12" s="177" t="n">
        <f aca="false">AC$3*$E12</f>
        <v>9.76265231694252</v>
      </c>
      <c r="AD12" s="219" t="n">
        <f aca="false">Algae_electricity_factor/H12</f>
        <v>0.00280612373268055</v>
      </c>
      <c r="AE12" s="220" t="n">
        <f aca="false">Algae_electricity_factor/I12</f>
        <v>0.00280612373268055</v>
      </c>
      <c r="AF12" s="220" t="n">
        <f aca="false">Algae_electricity_factor/J12</f>
        <v>0.00280612373268055</v>
      </c>
      <c r="AG12" s="220" t="n">
        <f aca="false">Algae_electricity_factor/K12</f>
        <v>0.00280612373268055</v>
      </c>
      <c r="AH12" s="220" t="n">
        <f aca="false">Algae_electricity_factor/L12</f>
        <v>0.00280612373268055</v>
      </c>
      <c r="AI12" s="220" t="n">
        <f aca="false">Algae_electricity_factor/M12</f>
        <v>0.00267906665716366</v>
      </c>
      <c r="AJ12" s="220" t="n">
        <f aca="false">Algae_electricity_factor/N12</f>
        <v>0.00260826546174064</v>
      </c>
      <c r="AK12" s="220" t="n">
        <f aca="false">Algae_electricity_factor/O12</f>
        <v>0.00250725197143928</v>
      </c>
      <c r="AL12" s="220" t="n">
        <f aca="false">Algae_electricity_factor/P12</f>
        <v>0.00237319279411978</v>
      </c>
      <c r="AM12" s="220" t="n">
        <f aca="false">Algae_electricity_factor/Q12</f>
        <v>0.00221138949790997</v>
      </c>
      <c r="AN12" s="220" t="n">
        <f aca="false">Algae_electricity_factor/R12</f>
        <v>0.00203705327634994</v>
      </c>
      <c r="AO12" s="220" t="n">
        <f aca="false">Algae_electricity_factor/S12</f>
        <v>0.00187074915512037</v>
      </c>
      <c r="AP12" s="220" t="n">
        <f aca="false">Algae_electricity_factor/T12</f>
        <v>0.00172954950470277</v>
      </c>
      <c r="AQ12" s="220" t="n">
        <f aca="false">Algae_electricity_factor/U12</f>
        <v>0.00162104493014984</v>
      </c>
      <c r="AR12" s="220" t="n">
        <f aca="false">Algae_electricity_factor/V12</f>
        <v>0.00154388376896507</v>
      </c>
      <c r="AS12" s="220" t="n">
        <f aca="false">Algae_electricity_factor/W12</f>
        <v>0.00149198643784449</v>
      </c>
      <c r="AT12" s="220" t="n">
        <f aca="false">Algae_electricity_factor/X12</f>
        <v>0.0014583767701237</v>
      </c>
      <c r="AU12" s="220" t="n">
        <f aca="false">Algae_electricity_factor/Y12</f>
        <v>0.00143714069244949</v>
      </c>
      <c r="AV12" s="220" t="n">
        <f aca="false">Algae_electricity_factor/Z12</f>
        <v>0.00142393116579316</v>
      </c>
      <c r="AW12" s="220" t="n">
        <f aca="false">Algae_electricity_factor/AA12</f>
        <v>0.00141579425268624</v>
      </c>
      <c r="AX12" s="220" t="n">
        <f aca="false">Algae_electricity_factor/AB12</f>
        <v>0.00141081212226521</v>
      </c>
      <c r="AY12" s="220" t="n">
        <f aca="false">Algae_electricity_factor/AC12</f>
        <v>0.0014077728733285</v>
      </c>
      <c r="AZ12" s="221" t="n">
        <f aca="false">Algae_yield_cost_factor/H12</f>
        <v>0.155346414387077</v>
      </c>
      <c r="BA12" s="197" t="n">
        <f aca="false">Algae_yield_cost_factor/I12</f>
        <v>0.155346414387077</v>
      </c>
      <c r="BB12" s="197" t="n">
        <f aca="false">Algae_yield_cost_factor/J12</f>
        <v>0.155346414387077</v>
      </c>
      <c r="BC12" s="197" t="n">
        <f aca="false">Algae_yield_cost_factor/K12</f>
        <v>0.155346414387077</v>
      </c>
      <c r="BD12" s="197" t="n">
        <f aca="false">Algae_yield_cost_factor/L12</f>
        <v>0.155346414387077</v>
      </c>
      <c r="BE12" s="197" t="n">
        <f aca="false">Algae_yield_cost_factor/M12</f>
        <v>0.148312561647732</v>
      </c>
      <c r="BF12" s="197" t="n">
        <f aca="false">Algae_yield_cost_factor/N12</f>
        <v>0.144393022492992</v>
      </c>
      <c r="BG12" s="197" t="n">
        <f aca="false">Algae_yield_cost_factor/O12</f>
        <v>0.138800937104779</v>
      </c>
      <c r="BH12" s="197" t="n">
        <f aca="false">Algae_yield_cost_factor/P12</f>
        <v>0.131379449495474</v>
      </c>
      <c r="BI12" s="197" t="n">
        <f aca="false">Algae_yield_cost_factor/Q12</f>
        <v>0.122422053351651</v>
      </c>
      <c r="BJ12" s="197" t="n">
        <f aca="false">Algae_yield_cost_factor/R12</f>
        <v>0.112770837119902</v>
      </c>
      <c r="BK12" s="197" t="n">
        <f aca="false">Algae_yield_cost_factor/S12</f>
        <v>0.103564276258051</v>
      </c>
      <c r="BL12" s="197" t="n">
        <f aca="false">Algae_yield_cost_factor/T12</f>
        <v>0.0957474935732303</v>
      </c>
      <c r="BM12" s="197" t="n">
        <f aca="false">Algae_yield_cost_factor/U12</f>
        <v>0.0897407033504444</v>
      </c>
      <c r="BN12" s="197" t="n">
        <f aca="false">Algae_yield_cost_factor/V12</f>
        <v>0.0854690778407072</v>
      </c>
      <c r="BO12" s="197" t="n">
        <f aca="false">Algae_yield_cost_factor/W12</f>
        <v>0.0825960526023871</v>
      </c>
      <c r="BP12" s="197" t="n">
        <f aca="false">Algae_yield_cost_factor/X12</f>
        <v>0.0807354285292714</v>
      </c>
      <c r="BQ12" s="197" t="n">
        <f aca="false">Algae_yield_cost_factor/Y12</f>
        <v>0.0795598037754826</v>
      </c>
      <c r="BR12" s="197" t="n">
        <f aca="false">Algae_yield_cost_factor/Z12</f>
        <v>0.0788285271828248</v>
      </c>
      <c r="BS12" s="197" t="n">
        <f aca="false">Algae_yield_cost_factor/AA12</f>
        <v>0.0783780693998632</v>
      </c>
      <c r="BT12" s="197" t="n">
        <f aca="false">Algae_yield_cost_factor/AB12</f>
        <v>0.0781022597169535</v>
      </c>
      <c r="BU12" s="197" t="n">
        <f aca="false">Algae_yield_cost_factor/AC12</f>
        <v>0.0779340075407397</v>
      </c>
    </row>
    <row r="13" customFormat="false" ht="15" hidden="false" customHeight="false" outlineLevel="0" collapsed="false">
      <c r="A13" s="18" t="s">
        <v>689</v>
      </c>
      <c r="B13" s="18" t="s">
        <v>22</v>
      </c>
      <c r="C13" s="18" t="s">
        <v>690</v>
      </c>
      <c r="D13" s="18" t="s">
        <v>690</v>
      </c>
      <c r="E13" s="28" t="n">
        <v>7.05472</v>
      </c>
      <c r="F13" s="185" t="n">
        <f aca="false">E13/$B$2*$F$3/1000</f>
        <v>0.017284064</v>
      </c>
      <c r="G13" s="18" t="n">
        <f aca="false">LOOKUP(RIGHT(D13,5),Ref!$C$4:$C$21,Ref!$E$4:$E$21)*$G$3</f>
        <v>1.5</v>
      </c>
      <c r="H13" s="218" t="n">
        <f aca="false">$E13</f>
        <v>7.05472</v>
      </c>
      <c r="I13" s="177" t="n">
        <f aca="false">$E13</f>
        <v>7.05472</v>
      </c>
      <c r="J13" s="177" t="n">
        <f aca="false">$E13</f>
        <v>7.05472</v>
      </c>
      <c r="K13" s="177" t="n">
        <f aca="false">$E13</f>
        <v>7.05472</v>
      </c>
      <c r="L13" s="177" t="n">
        <f aca="false">$E13</f>
        <v>7.05472</v>
      </c>
      <c r="M13" s="177" t="n">
        <f aca="false">M$3*$E13</f>
        <v>7.38929625602324</v>
      </c>
      <c r="N13" s="177" t="n">
        <f aca="false">N$3*$E13</f>
        <v>7.58987821975947</v>
      </c>
      <c r="O13" s="177" t="n">
        <f aca="false">O$3*$E13</f>
        <v>7.89566323804787</v>
      </c>
      <c r="P13" s="177" t="n">
        <f aca="false">P$3*$E13</f>
        <v>8.34168099130718</v>
      </c>
      <c r="Q13" s="177" t="n">
        <f aca="false">Q$3*$E13</f>
        <v>8.95202642416733</v>
      </c>
      <c r="R13" s="177" t="n">
        <f aca="false">R$3*$E13</f>
        <v>9.71816370698365</v>
      </c>
      <c r="S13" s="177" t="n">
        <f aca="false">S$3*$E13</f>
        <v>10.58208</v>
      </c>
      <c r="T13" s="177" t="n">
        <f aca="false">T$3*$E13</f>
        <v>11.4459962930163</v>
      </c>
      <c r="U13" s="177" t="n">
        <f aca="false">U$3*$E13</f>
        <v>12.2121335758327</v>
      </c>
      <c r="V13" s="177" t="n">
        <f aca="false">V$3*$E13</f>
        <v>12.8224790086928</v>
      </c>
      <c r="W13" s="177" t="n">
        <f aca="false">W$3*$E13</f>
        <v>13.2684967619521</v>
      </c>
      <c r="X13" s="177" t="n">
        <f aca="false">X$3*$E13</f>
        <v>13.5742817802405</v>
      </c>
      <c r="Y13" s="177" t="n">
        <f aca="false">Y$3*$E13</f>
        <v>13.7748637439768</v>
      </c>
      <c r="Z13" s="177" t="n">
        <f aca="false">Z$3*$E13</f>
        <v>13.9026504194738</v>
      </c>
      <c r="AA13" s="177" t="n">
        <f aca="false">AA$3*$E13</f>
        <v>13.9825523248562</v>
      </c>
      <c r="AB13" s="177" t="n">
        <f aca="false">AB$3*$E13</f>
        <v>14.0319301960851</v>
      </c>
      <c r="AC13" s="177" t="n">
        <f aca="false">AC$3*$E13</f>
        <v>14.0622238107274</v>
      </c>
      <c r="AD13" s="219" t="n">
        <f aca="false">Algae_electricity_factor/H13</f>
        <v>0.00194814210961303</v>
      </c>
      <c r="AE13" s="220" t="n">
        <f aca="false">Algae_electricity_factor/I13</f>
        <v>0.00194814210961303</v>
      </c>
      <c r="AF13" s="220" t="n">
        <f aca="false">Algae_electricity_factor/J13</f>
        <v>0.00194814210961303</v>
      </c>
      <c r="AG13" s="220" t="n">
        <f aca="false">Algae_electricity_factor/K13</f>
        <v>0.00194814210961303</v>
      </c>
      <c r="AH13" s="220" t="n">
        <f aca="false">Algae_electricity_factor/L13</f>
        <v>0.00194814210961303</v>
      </c>
      <c r="AI13" s="220" t="n">
        <f aca="false">Algae_electricity_factor/M13</f>
        <v>0.00185993315565422</v>
      </c>
      <c r="AJ13" s="220" t="n">
        <f aca="false">Algae_electricity_factor/N13</f>
        <v>0.00181077966017284</v>
      </c>
      <c r="AK13" s="220" t="n">
        <f aca="false">Algae_electricity_factor/O13</f>
        <v>0.00174065137901287</v>
      </c>
      <c r="AL13" s="220" t="n">
        <f aca="false">Algae_electricity_factor/P13</f>
        <v>0.00164758123906337</v>
      </c>
      <c r="AM13" s="220" t="n">
        <f aca="false">Algae_electricity_factor/Q13</f>
        <v>0.00153524983644221</v>
      </c>
      <c r="AN13" s="220" t="n">
        <f aca="false">Algae_electricity_factor/R13</f>
        <v>0.00141421749189642</v>
      </c>
      <c r="AO13" s="220" t="n">
        <f aca="false">Algae_electricity_factor/S13</f>
        <v>0.00129876140640869</v>
      </c>
      <c r="AP13" s="220" t="n">
        <f aca="false">Algae_electricity_factor/T13</f>
        <v>0.00120073401665478</v>
      </c>
      <c r="AQ13" s="220" t="n">
        <f aca="false">Algae_electricity_factor/U13</f>
        <v>0.00112540507505808</v>
      </c>
      <c r="AR13" s="220" t="n">
        <f aca="false">Algae_electricity_factor/V13</f>
        <v>0.00107183619440609</v>
      </c>
      <c r="AS13" s="220" t="n">
        <f aca="false">Algae_electricity_factor/W13</f>
        <v>0.0010358066441211</v>
      </c>
      <c r="AT13" s="220" t="n">
        <f aca="false">Algae_electricity_factor/X13</f>
        <v>0.00101247324359622</v>
      </c>
      <c r="AU13" s="220" t="n">
        <f aca="false">Algae_electricity_factor/Y13</f>
        <v>0.000997730166989044</v>
      </c>
      <c r="AV13" s="220" t="n">
        <f aca="false">Algae_electricity_factor/Z13</f>
        <v>0.000988559496848044</v>
      </c>
      <c r="AW13" s="220" t="n">
        <f aca="false">Algae_electricity_factor/AA13</f>
        <v>0.000982910471866986</v>
      </c>
      <c r="AX13" s="220" t="n">
        <f aca="false">Algae_electricity_factor/AB13</f>
        <v>0.000979451644319305</v>
      </c>
      <c r="AY13" s="220" t="n">
        <f aca="false">Algae_electricity_factor/AC13</f>
        <v>0.000977341655808728</v>
      </c>
      <c r="AZ13" s="221" t="n">
        <f aca="false">Algae_yield_cost_factor/H13</f>
        <v>0.107848733796128</v>
      </c>
      <c r="BA13" s="197" t="n">
        <f aca="false">Algae_yield_cost_factor/I13</f>
        <v>0.107848733796128</v>
      </c>
      <c r="BB13" s="197" t="n">
        <f aca="false">Algae_yield_cost_factor/J13</f>
        <v>0.107848733796128</v>
      </c>
      <c r="BC13" s="197" t="n">
        <f aca="false">Algae_yield_cost_factor/K13</f>
        <v>0.107848733796128</v>
      </c>
      <c r="BD13" s="197" t="n">
        <f aca="false">Algae_yield_cost_factor/L13</f>
        <v>0.107848733796128</v>
      </c>
      <c r="BE13" s="197" t="n">
        <f aca="false">Algae_yield_cost_factor/M13</f>
        <v>0.10296550482274</v>
      </c>
      <c r="BF13" s="197" t="n">
        <f aca="false">Algae_yield_cost_factor/N13</f>
        <v>0.100244377743169</v>
      </c>
      <c r="BG13" s="197" t="n">
        <f aca="false">Algae_yield_cost_factor/O13</f>
        <v>0.096362090979241</v>
      </c>
      <c r="BH13" s="197" t="n">
        <f aca="false">Algae_yield_cost_factor/P13</f>
        <v>0.0912097477809434</v>
      </c>
      <c r="BI13" s="197" t="n">
        <f aca="false">Algae_yield_cost_factor/Q13</f>
        <v>0.084991105168346</v>
      </c>
      <c r="BJ13" s="197" t="n">
        <f aca="false">Algae_yield_cost_factor/R13</f>
        <v>0.0782907802571243</v>
      </c>
      <c r="BK13" s="197" t="n">
        <f aca="false">Algae_yield_cost_factor/S13</f>
        <v>0.0718991558640851</v>
      </c>
      <c r="BL13" s="197" t="n">
        <f aca="false">Algae_yield_cost_factor/T13</f>
        <v>0.0664723803685344</v>
      </c>
      <c r="BM13" s="197" t="n">
        <f aca="false">Algae_yield_cost_factor/U13</f>
        <v>0.0623021861463991</v>
      </c>
      <c r="BN13" s="197" t="n">
        <f aca="false">Algae_yield_cost_factor/V13</f>
        <v>0.0593366242807194</v>
      </c>
      <c r="BO13" s="197" t="n">
        <f aca="false">Algae_yield_cost_factor/W13</f>
        <v>0.0573420360223443</v>
      </c>
      <c r="BP13" s="197" t="n">
        <f aca="false">Algae_yield_cost_factor/X13</f>
        <v>0.0560503039205906</v>
      </c>
      <c r="BQ13" s="197" t="n">
        <f aca="false">Algae_yield_cost_factor/Y13</f>
        <v>0.05523413032807</v>
      </c>
      <c r="BR13" s="197" t="n">
        <f aca="false">Algae_yield_cost_factor/Z13</f>
        <v>0.0547264439750629</v>
      </c>
      <c r="BS13" s="197" t="n">
        <f aca="false">Algae_yield_cost_factor/AA13</f>
        <v>0.0544137151508239</v>
      </c>
      <c r="BT13" s="197" t="n">
        <f aca="false">Algae_yield_cost_factor/AB13</f>
        <v>0.0542222351917409</v>
      </c>
      <c r="BU13" s="197" t="n">
        <f aca="false">Algae_yield_cost_factor/AC13</f>
        <v>0.0541054266755309</v>
      </c>
    </row>
    <row r="14" customFormat="false" ht="15" hidden="false" customHeight="false" outlineLevel="0" collapsed="false">
      <c r="A14" s="18" t="s">
        <v>689</v>
      </c>
      <c r="B14" s="18" t="s">
        <v>22</v>
      </c>
      <c r="C14" s="18" t="s">
        <v>691</v>
      </c>
      <c r="D14" s="18" t="s">
        <v>691</v>
      </c>
      <c r="E14" s="28" t="n">
        <v>7.42118</v>
      </c>
      <c r="F14" s="185" t="n">
        <f aca="false">E14/$B$2*$F$3/1000</f>
        <v>0.018181891</v>
      </c>
      <c r="G14" s="18" t="n">
        <f aca="false">LOOKUP(RIGHT(D14,5),Ref!$C$4:$C$21,Ref!$E$4:$E$21)*$G$3</f>
        <v>2</v>
      </c>
      <c r="H14" s="218" t="n">
        <f aca="false">$E14</f>
        <v>7.42118</v>
      </c>
      <c r="I14" s="177" t="n">
        <f aca="false">$E14</f>
        <v>7.42118</v>
      </c>
      <c r="J14" s="177" t="n">
        <f aca="false">$E14</f>
        <v>7.42118</v>
      </c>
      <c r="K14" s="177" t="n">
        <f aca="false">$E14</f>
        <v>7.42118</v>
      </c>
      <c r="L14" s="177" t="n">
        <f aca="false">$E14</f>
        <v>7.42118</v>
      </c>
      <c r="M14" s="177" t="n">
        <f aca="false">M$3*$E14</f>
        <v>7.77313594150789</v>
      </c>
      <c r="N14" s="177" t="n">
        <f aca="false">N$3*$E14</f>
        <v>7.98413720841005</v>
      </c>
      <c r="O14" s="177" t="n">
        <f aca="false">O$3*$E14</f>
        <v>8.3058063408521</v>
      </c>
      <c r="P14" s="177" t="n">
        <f aca="false">P$3*$E14</f>
        <v>8.77499264876126</v>
      </c>
      <c r="Q14" s="177" t="n">
        <f aca="false">Q$3*$E14</f>
        <v>9.41704269744258</v>
      </c>
      <c r="R14" s="177" t="n">
        <f aca="false">R$3*$E14</f>
        <v>10.2229772604714</v>
      </c>
      <c r="S14" s="177" t="n">
        <f aca="false">S$3*$E14</f>
        <v>11.13177</v>
      </c>
      <c r="T14" s="177" t="n">
        <f aca="false">T$3*$E14</f>
        <v>12.0405627395286</v>
      </c>
      <c r="U14" s="177" t="n">
        <f aca="false">U$3*$E14</f>
        <v>12.8464973025574</v>
      </c>
      <c r="V14" s="177" t="n">
        <f aca="false">V$3*$E14</f>
        <v>13.4885473512387</v>
      </c>
      <c r="W14" s="177" t="n">
        <f aca="false">W$3*$E14</f>
        <v>13.9577336591479</v>
      </c>
      <c r="X14" s="177" t="n">
        <f aca="false">X$3*$E14</f>
        <v>14.2794027915899</v>
      </c>
      <c r="Y14" s="177" t="n">
        <f aca="false">Y$3*$E14</f>
        <v>14.4904040584921</v>
      </c>
      <c r="Z14" s="177" t="n">
        <f aca="false">Z$3*$E14</f>
        <v>14.6248286593927</v>
      </c>
      <c r="AA14" s="177" t="n">
        <f aca="false">AA$3*$E14</f>
        <v>14.7088810983535</v>
      </c>
      <c r="AB14" s="177" t="n">
        <f aca="false">AB$3*$E14</f>
        <v>14.7608239210887</v>
      </c>
      <c r="AC14" s="177" t="n">
        <f aca="false">AC$3*$E14</f>
        <v>14.7926911485777</v>
      </c>
      <c r="AD14" s="219" t="n">
        <f aca="false">Algae_electricity_factor/H14</f>
        <v>0.00185194229267169</v>
      </c>
      <c r="AE14" s="220" t="n">
        <f aca="false">Algae_electricity_factor/I14</f>
        <v>0.00185194229267169</v>
      </c>
      <c r="AF14" s="220" t="n">
        <f aca="false">Algae_electricity_factor/J14</f>
        <v>0.00185194229267169</v>
      </c>
      <c r="AG14" s="220" t="n">
        <f aca="false">Algae_electricity_factor/K14</f>
        <v>0.00185194229267169</v>
      </c>
      <c r="AH14" s="220" t="n">
        <f aca="false">Algae_electricity_factor/L14</f>
        <v>0.00185194229267169</v>
      </c>
      <c r="AI14" s="220" t="n">
        <f aca="false">Algae_electricity_factor/M14</f>
        <v>0.00176808912219579</v>
      </c>
      <c r="AJ14" s="220" t="n">
        <f aca="false">Algae_electricity_factor/N14</f>
        <v>0.00172136284043973</v>
      </c>
      <c r="AK14" s="220" t="n">
        <f aca="false">Algae_electricity_factor/O14</f>
        <v>0.00165469751394653</v>
      </c>
      <c r="AL14" s="220" t="n">
        <f aca="false">Algae_electricity_factor/P14</f>
        <v>0.00156622320424045</v>
      </c>
      <c r="AM14" s="220" t="n">
        <f aca="false">Algae_electricity_factor/Q14</f>
        <v>0.00145943875854589</v>
      </c>
      <c r="AN14" s="220" t="n">
        <f aca="false">Algae_electricity_factor/R14</f>
        <v>0.00134438302593813</v>
      </c>
      <c r="AO14" s="220" t="n">
        <f aca="false">Algae_electricity_factor/S14</f>
        <v>0.00123462819511446</v>
      </c>
      <c r="AP14" s="220" t="n">
        <f aca="false">Algae_electricity_factor/T14</f>
        <v>0.0011414414260232</v>
      </c>
      <c r="AQ14" s="220" t="n">
        <f aca="false">Algae_electricity_factor/U14</f>
        <v>0.00106983224919942</v>
      </c>
      <c r="AR14" s="220" t="n">
        <f aca="false">Algae_electricity_factor/V14</f>
        <v>0.00101890861526072</v>
      </c>
      <c r="AS14" s="220" t="n">
        <f aca="false">Algae_electricity_factor/W14</f>
        <v>0.000984658214517634</v>
      </c>
      <c r="AT14" s="220" t="n">
        <f aca="false">Algae_electricity_factor/X14</f>
        <v>0.000962477024012779</v>
      </c>
      <c r="AU14" s="220" t="n">
        <f aca="false">Algae_electricity_factor/Y14</f>
        <v>0.000948461964763144</v>
      </c>
      <c r="AV14" s="220" t="n">
        <f aca="false">Algae_electricity_factor/Z14</f>
        <v>0.000939744144947816</v>
      </c>
      <c r="AW14" s="220" t="n">
        <f aca="false">Algae_electricity_factor/AA14</f>
        <v>0.000934374070442903</v>
      </c>
      <c r="AX14" s="220" t="n">
        <f aca="false">Algae_electricity_factor/AB14</f>
        <v>0.000931086040793012</v>
      </c>
      <c r="AY14" s="220" t="n">
        <f aca="false">Algae_electricity_factor/AC14</f>
        <v>0.000929080244121143</v>
      </c>
      <c r="AZ14" s="221" t="n">
        <f aca="false">Algae_yield_cost_factor/H14</f>
        <v>0.102523132343673</v>
      </c>
      <c r="BA14" s="197" t="n">
        <f aca="false">Algae_yield_cost_factor/I14</f>
        <v>0.102523132343673</v>
      </c>
      <c r="BB14" s="197" t="n">
        <f aca="false">Algae_yield_cost_factor/J14</f>
        <v>0.102523132343673</v>
      </c>
      <c r="BC14" s="197" t="n">
        <f aca="false">Algae_yield_cost_factor/K14</f>
        <v>0.102523132343673</v>
      </c>
      <c r="BD14" s="197" t="n">
        <f aca="false">Algae_yield_cost_factor/L14</f>
        <v>0.102523132343673</v>
      </c>
      <c r="BE14" s="197" t="n">
        <f aca="false">Algae_yield_cost_factor/M14</f>
        <v>0.0978810386196106</v>
      </c>
      <c r="BF14" s="197" t="n">
        <f aca="false">Algae_yield_cost_factor/N14</f>
        <v>0.0952942815768231</v>
      </c>
      <c r="BG14" s="197" t="n">
        <f aca="false">Algae_yield_cost_factor/O14</f>
        <v>0.0916037032484148</v>
      </c>
      <c r="BH14" s="197" t="n">
        <f aca="false">Algae_yield_cost_factor/P14</f>
        <v>0.0867057842371668</v>
      </c>
      <c r="BI14" s="197" t="n">
        <f aca="false">Algae_yield_cost_factor/Q14</f>
        <v>0.0807942199829722</v>
      </c>
      <c r="BJ14" s="197" t="n">
        <f aca="false">Algae_yield_cost_factor/R14</f>
        <v>0.0744247590404141</v>
      </c>
      <c r="BK14" s="197" t="n">
        <f aca="false">Algae_yield_cost_factor/S14</f>
        <v>0.0683487548957819</v>
      </c>
      <c r="BL14" s="197" t="n">
        <f aca="false">Algae_yield_cost_factor/T14</f>
        <v>0.0631899551329448</v>
      </c>
      <c r="BM14" s="197" t="n">
        <f aca="false">Algae_yield_cost_factor/U14</f>
        <v>0.0592256862993116</v>
      </c>
      <c r="BN14" s="197" t="n">
        <f aca="false">Algae_yield_cost_factor/V14</f>
        <v>0.0564065647303632</v>
      </c>
      <c r="BO14" s="197" t="n">
        <f aca="false">Algae_yield_cost_factor/W14</f>
        <v>0.0545104698130962</v>
      </c>
      <c r="BP14" s="197" t="n">
        <f aca="false">Algae_yield_cost_factor/X14</f>
        <v>0.0532825238135538</v>
      </c>
      <c r="BQ14" s="197" t="n">
        <f aca="false">Algae_yield_cost_factor/Y14</f>
        <v>0.0525066531074629</v>
      </c>
      <c r="BR14" s="197" t="n">
        <f aca="false">Algae_yield_cost_factor/Z14</f>
        <v>0.0520240364523911</v>
      </c>
      <c r="BS14" s="197" t="n">
        <f aca="false">Algae_yield_cost_factor/AA14</f>
        <v>0.0517267502673187</v>
      </c>
      <c r="BT14" s="197" t="n">
        <f aca="false">Algae_yield_cost_factor/AB14</f>
        <v>0.0515447256436144</v>
      </c>
      <c r="BU14" s="197" t="n">
        <f aca="false">Algae_yield_cost_factor/AC14</f>
        <v>0.051433685165486</v>
      </c>
    </row>
    <row r="15" customFormat="false" ht="15" hidden="false" customHeight="false" outlineLevel="0" collapsed="false">
      <c r="A15" s="18" t="s">
        <v>689</v>
      </c>
      <c r="B15" s="18" t="s">
        <v>22</v>
      </c>
      <c r="C15" s="18" t="s">
        <v>692</v>
      </c>
      <c r="D15" s="18" t="s">
        <v>692</v>
      </c>
      <c r="E15" s="28" t="n">
        <v>7.201815</v>
      </c>
      <c r="F15" s="185" t="n">
        <f aca="false">E15/$B$2*$F$3/1000</f>
        <v>0.01764444675</v>
      </c>
      <c r="G15" s="18" t="n">
        <f aca="false">LOOKUP(RIGHT(D15,5),Ref!$C$4:$C$21,Ref!$E$4:$E$21)*$G$3</f>
        <v>2.5</v>
      </c>
      <c r="H15" s="218" t="n">
        <f aca="false">$E15</f>
        <v>7.201815</v>
      </c>
      <c r="I15" s="177" t="n">
        <f aca="false">$E15</f>
        <v>7.201815</v>
      </c>
      <c r="J15" s="177" t="n">
        <f aca="false">$E15</f>
        <v>7.201815</v>
      </c>
      <c r="K15" s="177" t="n">
        <f aca="false">$E15</f>
        <v>7.201815</v>
      </c>
      <c r="L15" s="177" t="n">
        <f aca="false">$E15</f>
        <v>7.201815</v>
      </c>
      <c r="M15" s="177" t="n">
        <f aca="false">M$3*$E15</f>
        <v>7.5433673648383</v>
      </c>
      <c r="N15" s="177" t="n">
        <f aca="false">N$3*$E15</f>
        <v>7.74813157874969</v>
      </c>
      <c r="O15" s="177" t="n">
        <f aca="false">O$3*$E15</f>
        <v>8.06029239186272</v>
      </c>
      <c r="P15" s="177" t="n">
        <f aca="false">P$3*$E15</f>
        <v>8.51560987373147</v>
      </c>
      <c r="Q15" s="177" t="n">
        <f aca="false">Q$3*$E15</f>
        <v>9.13868136254375</v>
      </c>
      <c r="R15" s="177" t="n">
        <f aca="false">R$3*$E15</f>
        <v>9.92079305166052</v>
      </c>
      <c r="S15" s="177" t="n">
        <f aca="false">S$3*$E15</f>
        <v>10.8027225</v>
      </c>
      <c r="T15" s="177" t="n">
        <f aca="false">T$3*$E15</f>
        <v>11.6846519483395</v>
      </c>
      <c r="U15" s="177" t="n">
        <f aca="false">U$3*$E15</f>
        <v>12.4667636374562</v>
      </c>
      <c r="V15" s="177" t="n">
        <f aca="false">V$3*$E15</f>
        <v>13.0898351262685</v>
      </c>
      <c r="W15" s="177" t="n">
        <f aca="false">W$3*$E15</f>
        <v>13.5451526081373</v>
      </c>
      <c r="X15" s="177" t="n">
        <f aca="false">X$3*$E15</f>
        <v>13.8573134212503</v>
      </c>
      <c r="Y15" s="177" t="n">
        <f aca="false">Y$3*$E15</f>
        <v>14.0620776351617</v>
      </c>
      <c r="Z15" s="177" t="n">
        <f aca="false">Z$3*$E15</f>
        <v>14.1925287368914</v>
      </c>
      <c r="AA15" s="177" t="n">
        <f aca="false">AA$3*$E15</f>
        <v>14.2740966433019</v>
      </c>
      <c r="AB15" s="177" t="n">
        <f aca="false">AB$3*$E15</f>
        <v>14.3245040717589</v>
      </c>
      <c r="AC15" s="177" t="n">
        <f aca="false">AC$3*$E15</f>
        <v>14.3554293258207</v>
      </c>
      <c r="AD15" s="219" t="n">
        <f aca="false">Algae_electricity_factor/H15</f>
        <v>0.00190835186734584</v>
      </c>
      <c r="AE15" s="220" t="n">
        <f aca="false">Algae_electricity_factor/I15</f>
        <v>0.00190835186734584</v>
      </c>
      <c r="AF15" s="220" t="n">
        <f aca="false">Algae_electricity_factor/J15</f>
        <v>0.00190835186734584</v>
      </c>
      <c r="AG15" s="220" t="n">
        <f aca="false">Algae_electricity_factor/K15</f>
        <v>0.00190835186734584</v>
      </c>
      <c r="AH15" s="220" t="n">
        <f aca="false">Algae_electricity_factor/L15</f>
        <v>0.00190835186734584</v>
      </c>
      <c r="AI15" s="220" t="n">
        <f aca="false">Algae_electricity_factor/M15</f>
        <v>0.00182194455590111</v>
      </c>
      <c r="AJ15" s="220" t="n">
        <f aca="false">Algae_electricity_factor/N15</f>
        <v>0.00177379500642748</v>
      </c>
      <c r="AK15" s="220" t="n">
        <f aca="false">Algae_electricity_factor/O15</f>
        <v>0.00170509907524002</v>
      </c>
      <c r="AL15" s="220" t="n">
        <f aca="false">Algae_electricity_factor/P15</f>
        <v>0.0016139298661303</v>
      </c>
      <c r="AM15" s="220" t="n">
        <f aca="false">Algae_electricity_factor/Q15</f>
        <v>0.00150389280009909</v>
      </c>
      <c r="AN15" s="220" t="n">
        <f aca="false">Algae_electricity_factor/R15</f>
        <v>0.00138533250637951</v>
      </c>
      <c r="AO15" s="220" t="n">
        <f aca="false">Algae_electricity_factor/S15</f>
        <v>0.00127223457823056</v>
      </c>
      <c r="AP15" s="220" t="n">
        <f aca="false">Algae_electricity_factor/T15</f>
        <v>0.00117620936971789</v>
      </c>
      <c r="AQ15" s="220" t="n">
        <f aca="false">Algae_electricity_factor/U15</f>
        <v>0.0011024190000873</v>
      </c>
      <c r="AR15" s="220" t="n">
        <f aca="false">Algae_electricity_factor/V15</f>
        <v>0.00104994424841523</v>
      </c>
      <c r="AS15" s="220" t="n">
        <f aca="false">Algae_electricity_factor/W15</f>
        <v>0.00101465059133204</v>
      </c>
      <c r="AT15" s="220" t="n">
        <f aca="false">Algae_electricity_factor/X15</f>
        <v>0.000991793768801775</v>
      </c>
      <c r="AU15" s="220" t="n">
        <f aca="false">Algae_electricity_factor/Y15</f>
        <v>0.000977351815293915</v>
      </c>
      <c r="AV15" s="220" t="n">
        <f aca="false">Algae_electricity_factor/Z15</f>
        <v>0.000968368453452891</v>
      </c>
      <c r="AW15" s="220" t="n">
        <f aca="false">Algae_electricity_factor/AA15</f>
        <v>0.000962834808182307</v>
      </c>
      <c r="AX15" s="220" t="n">
        <f aca="false">Algae_electricity_factor/AB15</f>
        <v>0.000959446626192465</v>
      </c>
      <c r="AY15" s="220" t="n">
        <f aca="false">Algae_electricity_factor/AC15</f>
        <v>0.000957379733590344</v>
      </c>
      <c r="AZ15" s="221" t="n">
        <f aca="false">Algae_yield_cost_factor/H15</f>
        <v>0.105645954427629</v>
      </c>
      <c r="BA15" s="197" t="n">
        <f aca="false">Algae_yield_cost_factor/I15</f>
        <v>0.105645954427629</v>
      </c>
      <c r="BB15" s="197" t="n">
        <f aca="false">Algae_yield_cost_factor/J15</f>
        <v>0.105645954427629</v>
      </c>
      <c r="BC15" s="197" t="n">
        <f aca="false">Algae_yield_cost_factor/K15</f>
        <v>0.105645954427629</v>
      </c>
      <c r="BD15" s="197" t="n">
        <f aca="false">Algae_yield_cost_factor/L15</f>
        <v>0.105645954427629</v>
      </c>
      <c r="BE15" s="197" t="n">
        <f aca="false">Algae_yield_cost_factor/M15</f>
        <v>0.100862464001517</v>
      </c>
      <c r="BF15" s="197" t="n">
        <f aca="false">Algae_yield_cost_factor/N15</f>
        <v>0.098196915159899</v>
      </c>
      <c r="BG15" s="197" t="n">
        <f aca="false">Algae_yield_cost_factor/O15</f>
        <v>0.094393922986507</v>
      </c>
      <c r="BH15" s="197" t="n">
        <f aca="false">Algae_yield_cost_factor/P15</f>
        <v>0.0893468149161256</v>
      </c>
      <c r="BI15" s="197" t="n">
        <f aca="false">Algae_yield_cost_factor/Q15</f>
        <v>0.083255186290294</v>
      </c>
      <c r="BJ15" s="197" t="n">
        <f aca="false">Algae_yield_cost_factor/R15</f>
        <v>0.0766917135882469</v>
      </c>
      <c r="BK15" s="197" t="n">
        <f aca="false">Algae_yield_cost_factor/S15</f>
        <v>0.0704306362850863</v>
      </c>
      <c r="BL15" s="197" t="n">
        <f aca="false">Algae_yield_cost_factor/T15</f>
        <v>0.0651147011181914</v>
      </c>
      <c r="BM15" s="197" t="n">
        <f aca="false">Algae_yield_cost_factor/U15</f>
        <v>0.0610296819136183</v>
      </c>
      <c r="BN15" s="197" t="n">
        <f aca="false">Algae_yield_cost_factor/V15</f>
        <v>0.0581246907960947</v>
      </c>
      <c r="BO15" s="197" t="n">
        <f aca="false">Algae_yield_cost_factor/W15</f>
        <v>0.0561708414292165</v>
      </c>
      <c r="BP15" s="197" t="n">
        <f aca="false">Algae_yield_cost_factor/X15</f>
        <v>0.0549054925841151</v>
      </c>
      <c r="BQ15" s="197" t="n">
        <f aca="false">Algae_yield_cost_factor/Y15</f>
        <v>0.0541059891024751</v>
      </c>
      <c r="BR15" s="197" t="n">
        <f aca="false">Algae_yield_cost_factor/Z15</f>
        <v>0.0536086720972083</v>
      </c>
      <c r="BS15" s="197" t="n">
        <f aca="false">Algae_yield_cost_factor/AA15</f>
        <v>0.0533023306692578</v>
      </c>
      <c r="BT15" s="197" t="n">
        <f aca="false">Algae_yield_cost_factor/AB15</f>
        <v>0.0531147616332659</v>
      </c>
      <c r="BU15" s="197" t="n">
        <f aca="false">Algae_yield_cost_factor/AC15</f>
        <v>0.0530003388974031</v>
      </c>
    </row>
    <row r="16" customFormat="false" ht="15" hidden="false" customHeight="false" outlineLevel="0" collapsed="false">
      <c r="A16" s="18" t="s">
        <v>689</v>
      </c>
      <c r="B16" s="18" t="s">
        <v>22</v>
      </c>
      <c r="C16" s="18" t="s">
        <v>693</v>
      </c>
      <c r="D16" s="18" t="s">
        <v>693</v>
      </c>
      <c r="E16" s="28" t="n">
        <v>7.43393675</v>
      </c>
      <c r="F16" s="185" t="n">
        <f aca="false">E16/$B$2*$F$3/1000</f>
        <v>0.0182131450375</v>
      </c>
      <c r="G16" s="18" t="n">
        <f aca="false">LOOKUP(RIGHT(D16,5),Ref!$C$4:$C$21,Ref!$E$4:$E$21)*$G$3</f>
        <v>3</v>
      </c>
      <c r="H16" s="218" t="n">
        <f aca="false">$E16</f>
        <v>7.43393675</v>
      </c>
      <c r="I16" s="177" t="n">
        <f aca="false">$E16</f>
        <v>7.43393675</v>
      </c>
      <c r="J16" s="177" t="n">
        <f aca="false">$E16</f>
        <v>7.43393675</v>
      </c>
      <c r="K16" s="177" t="n">
        <f aca="false">$E16</f>
        <v>7.43393675</v>
      </c>
      <c r="L16" s="177" t="n">
        <f aca="false">$E16</f>
        <v>7.43393675</v>
      </c>
      <c r="M16" s="177" t="n">
        <f aca="false">M$3*$E16</f>
        <v>7.78649769151555</v>
      </c>
      <c r="N16" s="177" t="n">
        <f aca="false">N$3*$E16</f>
        <v>7.99786166224804</v>
      </c>
      <c r="O16" s="177" t="n">
        <f aca="false">O$3*$E16</f>
        <v>8.3200837327276</v>
      </c>
      <c r="P16" s="177" t="n">
        <f aca="false">P$3*$E16</f>
        <v>8.79007655556207</v>
      </c>
      <c r="Q16" s="177" t="n">
        <f aca="false">Q$3*$E16</f>
        <v>9.43323026591964</v>
      </c>
      <c r="R16" s="177" t="n">
        <f aca="false">R$3*$E16</f>
        <v>10.2405502023981</v>
      </c>
      <c r="S16" s="177" t="n">
        <f aca="false">S$3*$E16</f>
        <v>11.150905125</v>
      </c>
      <c r="T16" s="177" t="n">
        <f aca="false">T$3*$E16</f>
        <v>12.0612600476019</v>
      </c>
      <c r="U16" s="177" t="n">
        <f aca="false">U$3*$E16</f>
        <v>12.8685799840804</v>
      </c>
      <c r="V16" s="177" t="n">
        <f aca="false">V$3*$E16</f>
        <v>13.5117336944379</v>
      </c>
      <c r="W16" s="177" t="n">
        <f aca="false">W$3*$E16</f>
        <v>13.9817265172724</v>
      </c>
      <c r="X16" s="177" t="n">
        <f aca="false">X$3*$E16</f>
        <v>14.303948587752</v>
      </c>
      <c r="Y16" s="177" t="n">
        <f aca="false">Y$3*$E16</f>
        <v>14.5153125584844</v>
      </c>
      <c r="Z16" s="177" t="n">
        <f aca="false">Z$3*$E16</f>
        <v>14.649968230593</v>
      </c>
      <c r="AA16" s="177" t="n">
        <f aca="false">AA$3*$E16</f>
        <v>14.7341651527696</v>
      </c>
      <c r="AB16" s="177" t="n">
        <f aca="false">AB$3*$E16</f>
        <v>14.7861972634083</v>
      </c>
      <c r="AC16" s="177" t="n">
        <f aca="false">AC$3*$E16</f>
        <v>14.8181192695517</v>
      </c>
      <c r="AD16" s="219" t="n">
        <f aca="false">Algae_electricity_factor/H16</f>
        <v>0.001848764331164</v>
      </c>
      <c r="AE16" s="220" t="n">
        <f aca="false">Algae_electricity_factor/I16</f>
        <v>0.001848764331164</v>
      </c>
      <c r="AF16" s="220" t="n">
        <f aca="false">Algae_electricity_factor/J16</f>
        <v>0.001848764331164</v>
      </c>
      <c r="AG16" s="220" t="n">
        <f aca="false">Algae_electricity_factor/K16</f>
        <v>0.001848764331164</v>
      </c>
      <c r="AH16" s="220" t="n">
        <f aca="false">Algae_electricity_factor/L16</f>
        <v>0.001848764331164</v>
      </c>
      <c r="AI16" s="220" t="n">
        <f aca="false">Algae_electricity_factor/M16</f>
        <v>0.0017650550540206</v>
      </c>
      <c r="AJ16" s="220" t="n">
        <f aca="false">Algae_electricity_factor/N16</f>
        <v>0.00171840895528396</v>
      </c>
      <c r="AK16" s="220" t="n">
        <f aca="false">Algae_electricity_factor/O16</f>
        <v>0.00165185802751815</v>
      </c>
      <c r="AL16" s="220" t="n">
        <f aca="false">Algae_electricity_factor/P16</f>
        <v>0.00156353554109068</v>
      </c>
      <c r="AM16" s="220" t="n">
        <f aca="false">Algae_electricity_factor/Q16</f>
        <v>0.0014569343391502</v>
      </c>
      <c r="AN16" s="220" t="n">
        <f aca="false">Algae_electricity_factor/R16</f>
        <v>0.00134207604395229</v>
      </c>
      <c r="AO16" s="220" t="n">
        <f aca="false">Algae_electricity_factor/S16</f>
        <v>0.00123250955410934</v>
      </c>
      <c r="AP16" s="220" t="n">
        <f aca="false">Algae_electricity_factor/T16</f>
        <v>0.00113948269494959</v>
      </c>
      <c r="AQ16" s="220" t="n">
        <f aca="false">Algae_electricity_factor/U16</f>
        <v>0.00106799640057655</v>
      </c>
      <c r="AR16" s="220" t="n">
        <f aca="false">Algae_electricity_factor/V16</f>
        <v>0.00101716015237828</v>
      </c>
      <c r="AS16" s="220" t="n">
        <f aca="false">Algae_electricity_factor/W16</f>
        <v>0.000982968525850584</v>
      </c>
      <c r="AT16" s="220" t="n">
        <f aca="false">Algae_electricity_factor/X16</f>
        <v>0.000960825398610387</v>
      </c>
      <c r="AU16" s="220" t="n">
        <f aca="false">Algae_electricity_factor/Y16</f>
        <v>0.000946834389418359</v>
      </c>
      <c r="AV16" s="220" t="n">
        <f aca="false">Algae_electricity_factor/Z16</f>
        <v>0.000938131529516152</v>
      </c>
      <c r="AW16" s="220" t="n">
        <f aca="false">Algae_electricity_factor/AA16</f>
        <v>0.000932770670141828</v>
      </c>
      <c r="AX16" s="220" t="n">
        <f aca="false">Algae_electricity_factor/AB16</f>
        <v>0.000929488282801476</v>
      </c>
      <c r="AY16" s="220" t="n">
        <f aca="false">Algae_electricity_factor/AC16</f>
        <v>0.0009274859281076</v>
      </c>
      <c r="AZ16" s="221" t="n">
        <f aca="false">Algae_yield_cost_factor/H16</f>
        <v>0.102347201068965</v>
      </c>
      <c r="BA16" s="197" t="n">
        <f aca="false">Algae_yield_cost_factor/I16</f>
        <v>0.102347201068965</v>
      </c>
      <c r="BB16" s="197" t="n">
        <f aca="false">Algae_yield_cost_factor/J16</f>
        <v>0.102347201068965</v>
      </c>
      <c r="BC16" s="197" t="n">
        <f aca="false">Algae_yield_cost_factor/K16</f>
        <v>0.102347201068965</v>
      </c>
      <c r="BD16" s="197" t="n">
        <f aca="false">Algae_yield_cost_factor/L16</f>
        <v>0.102347201068965</v>
      </c>
      <c r="BE16" s="197" t="n">
        <f aca="false">Algae_yield_cost_factor/M16</f>
        <v>0.0977130732492555</v>
      </c>
      <c r="BF16" s="197" t="n">
        <f aca="false">Algae_yield_cost_factor/N16</f>
        <v>0.0951307551214083</v>
      </c>
      <c r="BG16" s="197" t="n">
        <f aca="false">Algae_yield_cost_factor/O16</f>
        <v>0.0914465098822735</v>
      </c>
      <c r="BH16" s="197" t="n">
        <f aca="false">Algae_yield_cost_factor/P16</f>
        <v>0.0865569957755125</v>
      </c>
      <c r="BI16" s="197" t="n">
        <f aca="false">Algae_yield_cost_factor/Q16</f>
        <v>0.0806555758566595</v>
      </c>
      <c r="BJ16" s="197" t="n">
        <f aca="false">Algae_yield_cost_factor/R16</f>
        <v>0.0742970450072151</v>
      </c>
      <c r="BK16" s="197" t="n">
        <f aca="false">Algae_yield_cost_factor/S16</f>
        <v>0.06823146737931</v>
      </c>
      <c r="BL16" s="197" t="n">
        <f aca="false">Algae_yield_cost_factor/T16</f>
        <v>0.0630815201963492</v>
      </c>
      <c r="BM16" s="197" t="n">
        <f aca="false">Algae_yield_cost_factor/U16</f>
        <v>0.0591240541091132</v>
      </c>
      <c r="BN16" s="197" t="n">
        <f aca="false">Algae_yield_cost_factor/V16</f>
        <v>0.0563097701962123</v>
      </c>
      <c r="BO16" s="197" t="n">
        <f aca="false">Algae_yield_cost_factor/W16</f>
        <v>0.0544169290070369</v>
      </c>
      <c r="BP16" s="197" t="n">
        <f aca="false">Algae_yield_cost_factor/X16</f>
        <v>0.0531910901817491</v>
      </c>
      <c r="BQ16" s="197" t="n">
        <f aca="false">Algae_yield_cost_factor/Y16</f>
        <v>0.052416550881744</v>
      </c>
      <c r="BR16" s="197" t="n">
        <f aca="false">Algae_yield_cost_factor/Z16</f>
        <v>0.0519347624042881</v>
      </c>
      <c r="BS16" s="197" t="n">
        <f aca="false">Algae_yield_cost_factor/AA16</f>
        <v>0.0516379863668897</v>
      </c>
      <c r="BT16" s="197" t="n">
        <f aca="false">Algae_yield_cost_factor/AB16</f>
        <v>0.0514562741002442</v>
      </c>
      <c r="BU16" s="197" t="n">
        <f aca="false">Algae_yield_cost_factor/AC16</f>
        <v>0.0513454241692871</v>
      </c>
    </row>
    <row r="17" customFormat="false" ht="15" hidden="false" customHeight="false" outlineLevel="0" collapsed="false">
      <c r="A17" s="18" t="s">
        <v>689</v>
      </c>
      <c r="B17" s="18" t="s">
        <v>22</v>
      </c>
      <c r="C17" s="18" t="s">
        <v>694</v>
      </c>
      <c r="D17" s="18" t="s">
        <v>694</v>
      </c>
      <c r="E17" s="28" t="n">
        <v>7.504911</v>
      </c>
      <c r="F17" s="185" t="n">
        <f aca="false">E17/$B$2*$F$3/1000</f>
        <v>0.01838703195</v>
      </c>
      <c r="G17" s="18" t="n">
        <f aca="false">LOOKUP(RIGHT(D17,5),Ref!$C$4:$C$21,Ref!$E$4:$E$21)*$G$3</f>
        <v>3</v>
      </c>
      <c r="H17" s="218" t="n">
        <f aca="false">$E17</f>
        <v>7.504911</v>
      </c>
      <c r="I17" s="177" t="n">
        <f aca="false">$E17</f>
        <v>7.504911</v>
      </c>
      <c r="J17" s="177" t="n">
        <f aca="false">$E17</f>
        <v>7.504911</v>
      </c>
      <c r="K17" s="177" t="n">
        <f aca="false">$E17</f>
        <v>7.504911</v>
      </c>
      <c r="L17" s="177" t="n">
        <f aca="false">$E17</f>
        <v>7.504911</v>
      </c>
      <c r="M17" s="177" t="n">
        <f aca="false">M$3*$E17</f>
        <v>7.86083795729493</v>
      </c>
      <c r="N17" s="177" t="n">
        <f aca="false">N$3*$E17</f>
        <v>8.07421988968141</v>
      </c>
      <c r="O17" s="177" t="n">
        <f aca="false">O$3*$E17</f>
        <v>8.39951832071593</v>
      </c>
      <c r="P17" s="177" t="n">
        <f aca="false">P$3*$E17</f>
        <v>8.87399832029509</v>
      </c>
      <c r="Q17" s="177" t="n">
        <f aca="false">Q$3*$E17</f>
        <v>9.52329243159531</v>
      </c>
      <c r="R17" s="177" t="n">
        <f aca="false">R$3*$E17</f>
        <v>10.3383201182106</v>
      </c>
      <c r="S17" s="177" t="n">
        <f aca="false">S$3*$E17</f>
        <v>11.2573665</v>
      </c>
      <c r="T17" s="177" t="n">
        <f aca="false">T$3*$E17</f>
        <v>12.1764128817894</v>
      </c>
      <c r="U17" s="177" t="n">
        <f aca="false">U$3*$E17</f>
        <v>12.9914405684047</v>
      </c>
      <c r="V17" s="177" t="n">
        <f aca="false">V$3*$E17</f>
        <v>13.6407346797049</v>
      </c>
      <c r="W17" s="177" t="n">
        <f aca="false">W$3*$E17</f>
        <v>14.1152146792841</v>
      </c>
      <c r="X17" s="177" t="n">
        <f aca="false">X$3*$E17</f>
        <v>14.4405131103186</v>
      </c>
      <c r="Y17" s="177" t="n">
        <f aca="false">Y$3*$E17</f>
        <v>14.6538950427051</v>
      </c>
      <c r="Z17" s="177" t="n">
        <f aca="false">Z$3*$E17</f>
        <v>14.7898363169996</v>
      </c>
      <c r="AA17" s="177" t="n">
        <f aca="false">AA$3*$E17</f>
        <v>14.8748370950072</v>
      </c>
      <c r="AB17" s="177" t="n">
        <f aca="false">AB$3*$E17</f>
        <v>14.9273659733953</v>
      </c>
      <c r="AC17" s="177" t="n">
        <f aca="false">AC$3*$E17</f>
        <v>14.959592749477</v>
      </c>
      <c r="AD17" s="219" t="n">
        <f aca="false">Algae_electricity_factor/H17</f>
        <v>0.00183128049133817</v>
      </c>
      <c r="AE17" s="220" t="n">
        <f aca="false">Algae_electricity_factor/I17</f>
        <v>0.00183128049133817</v>
      </c>
      <c r="AF17" s="220" t="n">
        <f aca="false">Algae_electricity_factor/J17</f>
        <v>0.00183128049133817</v>
      </c>
      <c r="AG17" s="220" t="n">
        <f aca="false">Algae_electricity_factor/K17</f>
        <v>0.00183128049133817</v>
      </c>
      <c r="AH17" s="220" t="n">
        <f aca="false">Algae_electricity_factor/L17</f>
        <v>0.00183128049133817</v>
      </c>
      <c r="AI17" s="220" t="n">
        <f aca="false">Algae_electricity_factor/M17</f>
        <v>0.00174836285624932</v>
      </c>
      <c r="AJ17" s="220" t="n">
        <f aca="false">Algae_electricity_factor/N17</f>
        <v>0.00170215789157453</v>
      </c>
      <c r="AK17" s="220" t="n">
        <f aca="false">Algae_electricity_factor/O17</f>
        <v>0.00163623633865207</v>
      </c>
      <c r="AL17" s="220" t="n">
        <f aca="false">Algae_electricity_factor/P17</f>
        <v>0.00154874912158787</v>
      </c>
      <c r="AM17" s="220" t="n">
        <f aca="false">Algae_electricity_factor/Q17</f>
        <v>0.00144315605157018</v>
      </c>
      <c r="AN17" s="220" t="n">
        <f aca="false">Algae_electricity_factor/R17</f>
        <v>0.00132938397596341</v>
      </c>
      <c r="AO17" s="220" t="n">
        <f aca="false">Algae_electricity_factor/S17</f>
        <v>0.00122085366089212</v>
      </c>
      <c r="AP17" s="220" t="n">
        <f aca="false">Algae_electricity_factor/T17</f>
        <v>0.0011287065605408</v>
      </c>
      <c r="AQ17" s="220" t="n">
        <f aca="false">Algae_electricity_factor/U17</f>
        <v>0.00105789631497479</v>
      </c>
      <c r="AR17" s="220" t="n">
        <f aca="false">Algae_electricity_factor/V17</f>
        <v>0.00100754082725305</v>
      </c>
      <c r="AS17" s="220" t="n">
        <f aca="false">Algae_electricity_factor/W17</f>
        <v>0.000973672552334595</v>
      </c>
      <c r="AT17" s="220" t="n">
        <f aca="false">Algae_electricity_factor/X17</f>
        <v>0.000951738833553543</v>
      </c>
      <c r="AU17" s="220" t="n">
        <f aca="false">Algae_electricity_factor/Y17</f>
        <v>0.000937880137907158</v>
      </c>
      <c r="AV17" s="220" t="n">
        <f aca="false">Algae_electricity_factor/Z17</f>
        <v>0.000929259581306671</v>
      </c>
      <c r="AW17" s="220" t="n">
        <f aca="false">Algae_electricity_factor/AA17</f>
        <v>0.000923949419798511</v>
      </c>
      <c r="AX17" s="220" t="n">
        <f aca="false">Algae_electricity_factor/AB17</f>
        <v>0.000920698074129365</v>
      </c>
      <c r="AY17" s="220" t="n">
        <f aca="false">Algae_electricity_factor/AC17</f>
        <v>0.000918714655785651</v>
      </c>
      <c r="AZ17" s="221" t="n">
        <f aca="false">Algae_yield_cost_factor/H17</f>
        <v>0.101379299406244</v>
      </c>
      <c r="BA17" s="197" t="n">
        <f aca="false">Algae_yield_cost_factor/I17</f>
        <v>0.101379299406244</v>
      </c>
      <c r="BB17" s="197" t="n">
        <f aca="false">Algae_yield_cost_factor/J17</f>
        <v>0.101379299406244</v>
      </c>
      <c r="BC17" s="197" t="n">
        <f aca="false">Algae_yield_cost_factor/K17</f>
        <v>0.101379299406244</v>
      </c>
      <c r="BD17" s="197" t="n">
        <f aca="false">Algae_yield_cost_factor/L17</f>
        <v>0.101379299406244</v>
      </c>
      <c r="BE17" s="197" t="n">
        <f aca="false">Algae_yield_cost_factor/M17</f>
        <v>0.0967889967226903</v>
      </c>
      <c r="BF17" s="197" t="n">
        <f aca="false">Algae_yield_cost_factor/N17</f>
        <v>0.0942310996828994</v>
      </c>
      <c r="BG17" s="197" t="n">
        <f aca="false">Algae_yield_cost_factor/O17</f>
        <v>0.0905816965015403</v>
      </c>
      <c r="BH17" s="197" t="n">
        <f aca="false">Algae_yield_cost_factor/P17</f>
        <v>0.085738422729487</v>
      </c>
      <c r="BI17" s="197" t="n">
        <f aca="false">Algae_yield_cost_factor/Q17</f>
        <v>0.0798928127799562</v>
      </c>
      <c r="BJ17" s="197" t="n">
        <f aca="false">Algae_yield_cost_factor/R17</f>
        <v>0.0735944148165834</v>
      </c>
      <c r="BK17" s="197" t="n">
        <f aca="false">Algae_yield_cost_factor/S17</f>
        <v>0.067586199604163</v>
      </c>
      <c r="BL17" s="197" t="n">
        <f aca="false">Algae_yield_cost_factor/T17</f>
        <v>0.0624849556821536</v>
      </c>
      <c r="BM17" s="197" t="n">
        <f aca="false">Algae_yield_cost_factor/U17</f>
        <v>0.0585649155134185</v>
      </c>
      <c r="BN17" s="197" t="n">
        <f aca="false">Algae_yield_cost_factor/V17</f>
        <v>0.0557772463984819</v>
      </c>
      <c r="BO17" s="197" t="n">
        <f aca="false">Algae_yield_cost_factor/W17</f>
        <v>0.0539023058857797</v>
      </c>
      <c r="BP17" s="197" t="n">
        <f aca="false">Algae_yield_cost_factor/X17</f>
        <v>0.0526880598683541</v>
      </c>
      <c r="BQ17" s="197" t="n">
        <f aca="false">Algae_yield_cost_factor/Y17</f>
        <v>0.0519208454181591</v>
      </c>
      <c r="BR17" s="197" t="n">
        <f aca="false">Algae_yield_cost_factor/Z17</f>
        <v>0.0514436132340218</v>
      </c>
      <c r="BS17" s="197" t="n">
        <f aca="false">Algae_yield_cost_factor/AA17</f>
        <v>0.0511496438197362</v>
      </c>
      <c r="BT17" s="197" t="n">
        <f aca="false">Algae_yield_cost_factor/AB17</f>
        <v>0.0509696500134217</v>
      </c>
      <c r="BU17" s="197" t="n">
        <f aca="false">Algae_yield_cost_factor/AC17</f>
        <v>0.0508598483947913</v>
      </c>
    </row>
    <row r="18" customFormat="false" ht="15" hidden="false" customHeight="false" outlineLevel="0" collapsed="false">
      <c r="A18" s="18" t="s">
        <v>689</v>
      </c>
      <c r="B18" s="18" t="s">
        <v>22</v>
      </c>
      <c r="C18" s="18" t="s">
        <v>682</v>
      </c>
      <c r="D18" s="18" t="s">
        <v>682</v>
      </c>
      <c r="E18" s="28" t="n">
        <v>7.517248</v>
      </c>
      <c r="F18" s="185" t="n">
        <f aca="false">E18/$B$2*$F$3/1000</f>
        <v>0.0184172576</v>
      </c>
      <c r="G18" s="18" t="n">
        <f aca="false">LOOKUP(RIGHT(D18,5),Ref!$C$4:$C$21,Ref!$E$4:$E$21)*$G$3</f>
        <v>3</v>
      </c>
      <c r="H18" s="218" t="n">
        <f aca="false">$E18</f>
        <v>7.517248</v>
      </c>
      <c r="I18" s="177" t="n">
        <f aca="false">$E18</f>
        <v>7.517248</v>
      </c>
      <c r="J18" s="177" t="n">
        <f aca="false">$E18</f>
        <v>7.517248</v>
      </c>
      <c r="K18" s="177" t="n">
        <f aca="false">$E18</f>
        <v>7.517248</v>
      </c>
      <c r="L18" s="177" t="n">
        <f aca="false">$E18</f>
        <v>7.517248</v>
      </c>
      <c r="M18" s="177" t="n">
        <f aca="false">M$3*$E18</f>
        <v>7.87376005029232</v>
      </c>
      <c r="N18" s="177" t="n">
        <f aca="false">N$3*$E18</f>
        <v>8.08749275204833</v>
      </c>
      <c r="O18" s="177" t="n">
        <f aca="false">O$3*$E18</f>
        <v>8.41332592716492</v>
      </c>
      <c r="P18" s="177" t="n">
        <f aca="false">P$3*$E18</f>
        <v>8.88858590398229</v>
      </c>
      <c r="Q18" s="177" t="n">
        <f aca="false">Q$3*$E18</f>
        <v>9.53894736191075</v>
      </c>
      <c r="R18" s="177" t="n">
        <f aca="false">R$3*$E18</f>
        <v>10.3553148374415</v>
      </c>
      <c r="S18" s="177" t="n">
        <f aca="false">S$3*$E18</f>
        <v>11.275872</v>
      </c>
      <c r="T18" s="177" t="n">
        <f aca="false">T$3*$E18</f>
        <v>12.1964291625585</v>
      </c>
      <c r="U18" s="177" t="n">
        <f aca="false">U$3*$E18</f>
        <v>13.0127966380892</v>
      </c>
      <c r="V18" s="177" t="n">
        <f aca="false">V$3*$E18</f>
        <v>13.6631580960177</v>
      </c>
      <c r="W18" s="177" t="n">
        <f aca="false">W$3*$E18</f>
        <v>14.1384180728351</v>
      </c>
      <c r="X18" s="177" t="n">
        <f aca="false">X$3*$E18</f>
        <v>14.4642512479517</v>
      </c>
      <c r="Y18" s="177" t="n">
        <f aca="false">Y$3*$E18</f>
        <v>14.6779839497077</v>
      </c>
      <c r="Z18" s="177" t="n">
        <f aca="false">Z$3*$E18</f>
        <v>14.8141486920088</v>
      </c>
      <c r="AA18" s="177" t="n">
        <f aca="false">AA$3*$E18</f>
        <v>14.8992891991349</v>
      </c>
      <c r="AB18" s="177" t="n">
        <f aca="false">AB$3*$E18</f>
        <v>14.9519044274841</v>
      </c>
      <c r="AC18" s="177" t="n">
        <f aca="false">AC$3*$E18</f>
        <v>14.9841841797751</v>
      </c>
      <c r="AD18" s="219" t="n">
        <f aca="false">Algae_electricity_factor/H18</f>
        <v>0.00182827506868594</v>
      </c>
      <c r="AE18" s="220" t="n">
        <f aca="false">Algae_electricity_factor/I18</f>
        <v>0.00182827506868594</v>
      </c>
      <c r="AF18" s="220" t="n">
        <f aca="false">Algae_electricity_factor/J18</f>
        <v>0.00182827506868594</v>
      </c>
      <c r="AG18" s="220" t="n">
        <f aca="false">Algae_electricity_factor/K18</f>
        <v>0.00182827506868594</v>
      </c>
      <c r="AH18" s="220" t="n">
        <f aca="false">Algae_electricity_factor/L18</f>
        <v>0.00182827506868594</v>
      </c>
      <c r="AI18" s="220" t="n">
        <f aca="false">Algae_electricity_factor/M18</f>
        <v>0.00174549351462889</v>
      </c>
      <c r="AJ18" s="220" t="n">
        <f aca="false">Algae_electricity_factor/N18</f>
        <v>0.00169936437965257</v>
      </c>
      <c r="AK18" s="220" t="n">
        <f aca="false">Algae_electricity_factor/O18</f>
        <v>0.00163355101448691</v>
      </c>
      <c r="AL18" s="220" t="n">
        <f aca="false">Algae_electricity_factor/P18</f>
        <v>0.00154620737786556</v>
      </c>
      <c r="AM18" s="220" t="n">
        <f aca="false">Algae_electricity_factor/Q18</f>
        <v>0.00144078760287616</v>
      </c>
      <c r="AN18" s="220" t="n">
        <f aca="false">Algae_electricity_factor/R18</f>
        <v>0.00132720224534717</v>
      </c>
      <c r="AO18" s="220" t="n">
        <f aca="false">Algae_electricity_factor/S18</f>
        <v>0.00121885004579063</v>
      </c>
      <c r="AP18" s="220" t="n">
        <f aca="false">Algae_electricity_factor/T18</f>
        <v>0.00112685417349206</v>
      </c>
      <c r="AQ18" s="220" t="n">
        <f aca="false">Algae_electricity_factor/U18</f>
        <v>0.00105616013880528</v>
      </c>
      <c r="AR18" s="220" t="n">
        <f aca="false">Algae_electricity_factor/V18</f>
        <v>0.00100588729245071</v>
      </c>
      <c r="AS18" s="220" t="n">
        <f aca="false">Algae_electricity_factor/W18</f>
        <v>0.000972074600760009</v>
      </c>
      <c r="AT18" s="220" t="n">
        <f aca="false">Algae_electricity_factor/X18</f>
        <v>0.000950176878701242</v>
      </c>
      <c r="AU18" s="220" t="n">
        <f aca="false">Algae_electricity_factor/Y18</f>
        <v>0.000936340927379401</v>
      </c>
      <c r="AV18" s="220" t="n">
        <f aca="false">Algae_electricity_factor/Z18</f>
        <v>0.00092773451848387</v>
      </c>
      <c r="AW18" s="220" t="n">
        <f aca="false">Algae_electricity_factor/AA18</f>
        <v>0.000922433071795617</v>
      </c>
      <c r="AX18" s="220" t="n">
        <f aca="false">Algae_electricity_factor/AB18</f>
        <v>0.00091918706210202</v>
      </c>
      <c r="AY18" s="220" t="n">
        <f aca="false">Algae_electricity_factor/AC18</f>
        <v>0.00091720689886338</v>
      </c>
      <c r="AZ18" s="221" t="n">
        <f aca="false">Algae_yield_cost_factor/H18</f>
        <v>0.101212919845962</v>
      </c>
      <c r="BA18" s="197" t="n">
        <f aca="false">Algae_yield_cost_factor/I18</f>
        <v>0.101212919845962</v>
      </c>
      <c r="BB18" s="197" t="n">
        <f aca="false">Algae_yield_cost_factor/J18</f>
        <v>0.101212919845962</v>
      </c>
      <c r="BC18" s="197" t="n">
        <f aca="false">Algae_yield_cost_factor/K18</f>
        <v>0.101212919845962</v>
      </c>
      <c r="BD18" s="197" t="n">
        <f aca="false">Algae_yield_cost_factor/L18</f>
        <v>0.101212919845962</v>
      </c>
      <c r="BE18" s="197" t="n">
        <f aca="false">Algae_yield_cost_factor/M18</f>
        <v>0.0966301505794517</v>
      </c>
      <c r="BF18" s="197" t="n">
        <f aca="false">Algae_yield_cost_factor/N18</f>
        <v>0.0940764514556774</v>
      </c>
      <c r="BG18" s="197" t="n">
        <f aca="false">Algae_yield_cost_factor/O18</f>
        <v>0.0904330375255773</v>
      </c>
      <c r="BH18" s="197" t="n">
        <f aca="false">Algae_yield_cost_factor/P18</f>
        <v>0.0855977123363732</v>
      </c>
      <c r="BI18" s="197" t="n">
        <f aca="false">Algae_yield_cost_factor/Q18</f>
        <v>0.0797616959628355</v>
      </c>
      <c r="BJ18" s="197" t="n">
        <f aca="false">Algae_yield_cost_factor/R18</f>
        <v>0.0734736346726275</v>
      </c>
      <c r="BK18" s="197" t="n">
        <f aca="false">Algae_yield_cost_factor/S18</f>
        <v>0.067475279897308</v>
      </c>
      <c r="BL18" s="197" t="n">
        <f aca="false">Algae_yield_cost_factor/T18</f>
        <v>0.0623824079282082</v>
      </c>
      <c r="BM18" s="197" t="n">
        <f aca="false">Algae_yield_cost_factor/U18</f>
        <v>0.0584688011690881</v>
      </c>
      <c r="BN18" s="197" t="n">
        <f aca="false">Algae_yield_cost_factor/V18</f>
        <v>0.0556857070627013</v>
      </c>
      <c r="BO18" s="197" t="n">
        <f aca="false">Algae_yield_cost_factor/W18</f>
        <v>0.0538138436256929</v>
      </c>
      <c r="BP18" s="197" t="n">
        <f aca="false">Algae_yield_cost_factor/X18</f>
        <v>0.0526015903791745</v>
      </c>
      <c r="BQ18" s="197" t="n">
        <f aca="false">Algae_yield_cost_factor/Y18</f>
        <v>0.05183563504996</v>
      </c>
      <c r="BR18" s="197" t="n">
        <f aca="false">Algae_yield_cost_factor/Z18</f>
        <v>0.051359186079767</v>
      </c>
      <c r="BS18" s="197" t="n">
        <f aca="false">Algae_yield_cost_factor/AA18</f>
        <v>0.0510656991160622</v>
      </c>
      <c r="BT18" s="197" t="n">
        <f aca="false">Algae_yield_cost_factor/AB18</f>
        <v>0.0508860007082218</v>
      </c>
      <c r="BU18" s="197" t="n">
        <f aca="false">Algae_yield_cost_factor/AC18</f>
        <v>0.0507763792915175</v>
      </c>
    </row>
    <row r="19" customFormat="false" ht="15" hidden="false" customHeight="false" outlineLevel="0" collapsed="false">
      <c r="A19" s="18" t="s">
        <v>689</v>
      </c>
      <c r="B19" s="18" t="s">
        <v>22</v>
      </c>
      <c r="C19" s="18" t="s">
        <v>683</v>
      </c>
      <c r="D19" s="18" t="s">
        <v>683</v>
      </c>
      <c r="E19" s="28" t="n">
        <v>7.1419185</v>
      </c>
      <c r="F19" s="185" t="n">
        <f aca="false">E19/$B$2*$F$3/1000</f>
        <v>0.017497700325</v>
      </c>
      <c r="G19" s="18" t="n">
        <f aca="false">LOOKUP(RIGHT(D19,5),Ref!$C$4:$C$21,Ref!$E$4:$E$21)*$G$3</f>
        <v>3</v>
      </c>
      <c r="H19" s="218" t="n">
        <f aca="false">$E19</f>
        <v>7.1419185</v>
      </c>
      <c r="I19" s="177" t="n">
        <f aca="false">$E19</f>
        <v>7.1419185</v>
      </c>
      <c r="J19" s="177" t="n">
        <f aca="false">$E19</f>
        <v>7.1419185</v>
      </c>
      <c r="K19" s="177" t="n">
        <f aca="false">$E19</f>
        <v>7.1419185</v>
      </c>
      <c r="L19" s="177" t="n">
        <f aca="false">$E19</f>
        <v>7.1419185</v>
      </c>
      <c r="M19" s="177" t="n">
        <f aca="false">M$3*$E19</f>
        <v>7.48063022102552</v>
      </c>
      <c r="N19" s="177" t="n">
        <f aca="false">N$3*$E19</f>
        <v>7.68369143927005</v>
      </c>
      <c r="O19" s="177" t="n">
        <f aca="false">O$3*$E19</f>
        <v>7.99325605404382</v>
      </c>
      <c r="P19" s="177" t="n">
        <f aca="false">P$3*$E19</f>
        <v>8.44478672334481</v>
      </c>
      <c r="Q19" s="177" t="n">
        <f aca="false">Q$3*$E19</f>
        <v>9.06267621269866</v>
      </c>
      <c r="R19" s="177" t="n">
        <f aca="false">R$3*$E19</f>
        <v>9.83828318699185</v>
      </c>
      <c r="S19" s="177" t="n">
        <f aca="false">S$3*$E19</f>
        <v>10.71287775</v>
      </c>
      <c r="T19" s="177" t="n">
        <f aca="false">T$3*$E19</f>
        <v>11.5874723130082</v>
      </c>
      <c r="U19" s="177" t="n">
        <f aca="false">U$3*$E19</f>
        <v>12.3630792873013</v>
      </c>
      <c r="V19" s="177" t="n">
        <f aca="false">V$3*$E19</f>
        <v>12.9809687766552</v>
      </c>
      <c r="W19" s="177" t="n">
        <f aca="false">W$3*$E19</f>
        <v>13.4324994459562</v>
      </c>
      <c r="X19" s="177" t="n">
        <f aca="false">X$3*$E19</f>
        <v>13.74206406073</v>
      </c>
      <c r="Y19" s="177" t="n">
        <f aca="false">Y$3*$E19</f>
        <v>13.9451252789745</v>
      </c>
      <c r="Z19" s="177" t="n">
        <f aca="false">Z$3*$E19</f>
        <v>14.0744914369206</v>
      </c>
      <c r="AA19" s="177" t="n">
        <f aca="false">AA$3*$E19</f>
        <v>14.1553809543269</v>
      </c>
      <c r="AB19" s="177" t="n">
        <f aca="false">AB$3*$E19</f>
        <v>14.2053691511681</v>
      </c>
      <c r="AC19" s="177" t="n">
        <f aca="false">AC$3*$E19</f>
        <v>14.2360372041661</v>
      </c>
      <c r="AD19" s="219" t="n">
        <f aca="false">Algae_electricity_factor/H19</f>
        <v>0.00192435647417837</v>
      </c>
      <c r="AE19" s="220" t="n">
        <f aca="false">Algae_electricity_factor/I19</f>
        <v>0.00192435647417837</v>
      </c>
      <c r="AF19" s="220" t="n">
        <f aca="false">Algae_electricity_factor/J19</f>
        <v>0.00192435647417837</v>
      </c>
      <c r="AG19" s="220" t="n">
        <f aca="false">Algae_electricity_factor/K19</f>
        <v>0.00192435647417837</v>
      </c>
      <c r="AH19" s="220" t="n">
        <f aca="false">Algae_electricity_factor/L19</f>
        <v>0.00192435647417837</v>
      </c>
      <c r="AI19" s="220" t="n">
        <f aca="false">Algae_electricity_factor/M19</f>
        <v>0.00183722449813128</v>
      </c>
      <c r="AJ19" s="220" t="n">
        <f aca="false">Algae_electricity_factor/N19</f>
        <v>0.00178867113706415</v>
      </c>
      <c r="AK19" s="220" t="n">
        <f aca="false">Algae_electricity_factor/O19</f>
        <v>0.00171939907975003</v>
      </c>
      <c r="AL19" s="220" t="n">
        <f aca="false">Algae_electricity_factor/P19</f>
        <v>0.00162746526984943</v>
      </c>
      <c r="AM19" s="220" t="n">
        <f aca="false">Algae_electricity_factor/Q19</f>
        <v>0.00151650536563048</v>
      </c>
      <c r="AN19" s="220" t="n">
        <f aca="false">Algae_electricity_factor/R19</f>
        <v>0.00139695075271883</v>
      </c>
      <c r="AO19" s="220" t="n">
        <f aca="false">Algae_electricity_factor/S19</f>
        <v>0.00128290431611891</v>
      </c>
      <c r="AP19" s="220" t="n">
        <f aca="false">Algae_electricity_factor/T19</f>
        <v>0.00118607378143209</v>
      </c>
      <c r="AQ19" s="220" t="n">
        <f aca="false">Algae_electricity_factor/U19</f>
        <v>0.00111166456059583</v>
      </c>
      <c r="AR19" s="220" t="n">
        <f aca="false">Algae_electricity_factor/V19</f>
        <v>0.00105874972353724</v>
      </c>
      <c r="AS19" s="220" t="n">
        <f aca="false">Algae_electricity_factor/W19</f>
        <v>0.00102316007224305</v>
      </c>
      <c r="AT19" s="220" t="n">
        <f aca="false">Algae_electricity_factor/X19</f>
        <v>0.00100011155840873</v>
      </c>
      <c r="AU19" s="220" t="n">
        <f aca="false">Algae_electricity_factor/Y19</f>
        <v>0.000985548485839057</v>
      </c>
      <c r="AV19" s="220" t="n">
        <f aca="false">Algae_electricity_factor/Z19</f>
        <v>0.000976489784027056</v>
      </c>
      <c r="AW19" s="220" t="n">
        <f aca="false">Algae_electricity_factor/AA19</f>
        <v>0.000970909730220173</v>
      </c>
      <c r="AX19" s="220" t="n">
        <f aca="false">Algae_electricity_factor/AB19</f>
        <v>0.00096749313286231</v>
      </c>
      <c r="AY19" s="220" t="n">
        <f aca="false">Algae_electricity_factor/AC19</f>
        <v>0.000965408906033714</v>
      </c>
      <c r="AZ19" s="221" t="n">
        <f aca="false">Algae_yield_cost_factor/H19</f>
        <v>0.106531966065731</v>
      </c>
      <c r="BA19" s="197" t="n">
        <f aca="false">Algae_yield_cost_factor/I19</f>
        <v>0.106531966065731</v>
      </c>
      <c r="BB19" s="197" t="n">
        <f aca="false">Algae_yield_cost_factor/J19</f>
        <v>0.106531966065731</v>
      </c>
      <c r="BC19" s="197" t="n">
        <f aca="false">Algae_yield_cost_factor/K19</f>
        <v>0.106531966065731</v>
      </c>
      <c r="BD19" s="197" t="n">
        <f aca="false">Algae_yield_cost_factor/L19</f>
        <v>0.106531966065731</v>
      </c>
      <c r="BE19" s="197" t="n">
        <f aca="false">Algae_yield_cost_factor/M19</f>
        <v>0.101708358361004</v>
      </c>
      <c r="BF19" s="197" t="n">
        <f aca="false">Algae_yield_cost_factor/N19</f>
        <v>0.0990204545952587</v>
      </c>
      <c r="BG19" s="197" t="n">
        <f aca="false">Algae_yield_cost_factor/O19</f>
        <v>0.0951855682017473</v>
      </c>
      <c r="BH19" s="197" t="n">
        <f aca="false">Algae_yield_cost_factor/P19</f>
        <v>0.0900961319938301</v>
      </c>
      <c r="BI19" s="197" t="n">
        <f aca="false">Algae_yield_cost_factor/Q19</f>
        <v>0.0839534152417496</v>
      </c>
      <c r="BJ19" s="197" t="n">
        <f aca="false">Algae_yield_cost_factor/R19</f>
        <v>0.0773348972402219</v>
      </c>
      <c r="BK19" s="197" t="n">
        <f aca="false">Algae_yield_cost_factor/S19</f>
        <v>0.0710213107104874</v>
      </c>
      <c r="BL19" s="197" t="n">
        <f aca="false">Algae_yield_cost_factor/T19</f>
        <v>0.0656607928574804</v>
      </c>
      <c r="BM19" s="197" t="n">
        <f aca="false">Algae_yield_cost_factor/U19</f>
        <v>0.0615415141814801</v>
      </c>
      <c r="BN19" s="197" t="n">
        <f aca="false">Algae_yield_cost_factor/V19</f>
        <v>0.0586121600303444</v>
      </c>
      <c r="BO19" s="197" t="n">
        <f aca="false">Algae_yield_cost_factor/W19</f>
        <v>0.0566419244867542</v>
      </c>
      <c r="BP19" s="197" t="n">
        <f aca="false">Algae_yield_cost_factor/X19</f>
        <v>0.0553659636517371</v>
      </c>
      <c r="BQ19" s="197" t="n">
        <f aca="false">Algae_yield_cost_factor/Y19</f>
        <v>0.0545597550445362</v>
      </c>
      <c r="BR19" s="197" t="n">
        <f aca="false">Algae_yield_cost_factor/Z19</f>
        <v>0.0540582672344631</v>
      </c>
      <c r="BS19" s="197" t="n">
        <f aca="false">Algae_yield_cost_factor/AA19</f>
        <v>0.0537493566397909</v>
      </c>
      <c r="BT19" s="197" t="n">
        <f aca="false">Algae_yield_cost_factor/AB19</f>
        <v>0.0535602145350551</v>
      </c>
      <c r="BU19" s="197" t="n">
        <f aca="false">Algae_yield_cost_factor/AC19</f>
        <v>0.053444832180093</v>
      </c>
    </row>
    <row r="20" customFormat="false" ht="15" hidden="false" customHeight="false" outlineLevel="0" collapsed="false">
      <c r="A20" s="18" t="s">
        <v>689</v>
      </c>
      <c r="B20" s="18" t="s">
        <v>22</v>
      </c>
      <c r="C20" s="18" t="s">
        <v>684</v>
      </c>
      <c r="D20" s="18" t="s">
        <v>684</v>
      </c>
      <c r="E20" s="28" t="n">
        <v>7.326718</v>
      </c>
      <c r="F20" s="185" t="n">
        <f aca="false">E20/$B$2*$F$3/1000</f>
        <v>0.0179504591</v>
      </c>
      <c r="G20" s="18" t="n">
        <f aca="false">LOOKUP(RIGHT(D20,5),Ref!$C$4:$C$21,Ref!$E$4:$E$21)*$G$3</f>
        <v>3.5</v>
      </c>
      <c r="H20" s="218" t="n">
        <f aca="false">$E20</f>
        <v>7.326718</v>
      </c>
      <c r="I20" s="177" t="n">
        <f aca="false">$E20</f>
        <v>7.326718</v>
      </c>
      <c r="J20" s="177" t="n">
        <f aca="false">$E20</f>
        <v>7.326718</v>
      </c>
      <c r="K20" s="177" t="n">
        <f aca="false">$E20</f>
        <v>7.326718</v>
      </c>
      <c r="L20" s="177" t="n">
        <f aca="false">$E20</f>
        <v>7.326718</v>
      </c>
      <c r="M20" s="177" t="n">
        <f aca="false">M$3*$E20</f>
        <v>7.6741939986758</v>
      </c>
      <c r="N20" s="177" t="n">
        <f aca="false">N$3*$E20</f>
        <v>7.88250949300888</v>
      </c>
      <c r="O20" s="177" t="n">
        <f aca="false">O$3*$E20</f>
        <v>8.20008419443204</v>
      </c>
      <c r="P20" s="177" t="n">
        <f aca="false">P$3*$E20</f>
        <v>8.66329836893146</v>
      </c>
      <c r="Q20" s="177" t="n">
        <f aca="false">Q$3*$E20</f>
        <v>9.29717595289713</v>
      </c>
      <c r="R20" s="177" t="n">
        <f aca="false">R$3*$E20</f>
        <v>10.0928520138154</v>
      </c>
      <c r="S20" s="177" t="n">
        <f aca="false">S$3*$E20</f>
        <v>10.990077</v>
      </c>
      <c r="T20" s="177" t="n">
        <f aca="false">T$3*$E20</f>
        <v>11.8873019861846</v>
      </c>
      <c r="U20" s="177" t="n">
        <f aca="false">U$3*$E20</f>
        <v>12.6829780471029</v>
      </c>
      <c r="V20" s="177" t="n">
        <f aca="false">V$3*$E20</f>
        <v>13.3168556310685</v>
      </c>
      <c r="W20" s="177" t="n">
        <f aca="false">W$3*$E20</f>
        <v>13.780069805568</v>
      </c>
      <c r="X20" s="177" t="n">
        <f aca="false">X$3*$E20</f>
        <v>14.0976445069911</v>
      </c>
      <c r="Y20" s="177" t="n">
        <f aca="false">Y$3*$E20</f>
        <v>14.3059600013242</v>
      </c>
      <c r="Z20" s="177" t="n">
        <f aca="false">Z$3*$E20</f>
        <v>14.4386735513339</v>
      </c>
      <c r="AA20" s="177" t="n">
        <f aca="false">AA$3*$E20</f>
        <v>14.521656111719</v>
      </c>
      <c r="AB20" s="177" t="n">
        <f aca="false">AB$3*$E20</f>
        <v>14.5729377696635</v>
      </c>
      <c r="AC20" s="177" t="n">
        <f aca="false">AC$3*$E20</f>
        <v>14.6043993686617</v>
      </c>
      <c r="AD20" s="219" t="n">
        <f aca="false">Algae_electricity_factor/H20</f>
        <v>0.00187581903705442</v>
      </c>
      <c r="AE20" s="220" t="n">
        <f aca="false">Algae_electricity_factor/I20</f>
        <v>0.00187581903705442</v>
      </c>
      <c r="AF20" s="220" t="n">
        <f aca="false">Algae_electricity_factor/J20</f>
        <v>0.00187581903705442</v>
      </c>
      <c r="AG20" s="220" t="n">
        <f aca="false">Algae_electricity_factor/K20</f>
        <v>0.00187581903705442</v>
      </c>
      <c r="AH20" s="220" t="n">
        <f aca="false">Algae_electricity_factor/L20</f>
        <v>0.00187581903705442</v>
      </c>
      <c r="AI20" s="220" t="n">
        <f aca="false">Algae_electricity_factor/M20</f>
        <v>0.00179088476339023</v>
      </c>
      <c r="AJ20" s="220" t="n">
        <f aca="false">Algae_electricity_factor/N20</f>
        <v>0.00174355604845369</v>
      </c>
      <c r="AK20" s="220" t="n">
        <f aca="false">Algae_electricity_factor/O20</f>
        <v>0.00167603121841863</v>
      </c>
      <c r="AL20" s="220" t="n">
        <f aca="false">Algae_electricity_factor/P20</f>
        <v>0.00158641622604352</v>
      </c>
      <c r="AM20" s="220" t="n">
        <f aca="false">Algae_electricity_factor/Q20</f>
        <v>0.00147825502853332</v>
      </c>
      <c r="AN20" s="220" t="n">
        <f aca="false">Algae_electricity_factor/R20</f>
        <v>0.00136171590396021</v>
      </c>
      <c r="AO20" s="220" t="n">
        <f aca="false">Algae_electricity_factor/S20</f>
        <v>0.00125054602470294</v>
      </c>
      <c r="AP20" s="220" t="n">
        <f aca="false">Algae_electricity_factor/T20</f>
        <v>0.0011561578160883</v>
      </c>
      <c r="AQ20" s="220" t="n">
        <f aca="false">Algae_electricity_factor/U20</f>
        <v>0.00108362539558828</v>
      </c>
      <c r="AR20" s="220" t="n">
        <f aca="false">Algae_electricity_factor/V20</f>
        <v>0.00103204521279521</v>
      </c>
      <c r="AS20" s="220" t="n">
        <f aca="false">Algae_electricity_factor/W20</f>
        <v>0.000997353228063913</v>
      </c>
      <c r="AT20" s="220" t="n">
        <f aca="false">Algae_electricity_factor/X20</f>
        <v>0.000974886059633134</v>
      </c>
      <c r="AU20" s="220" t="n">
        <f aca="false">Algae_electricity_factor/Y20</f>
        <v>0.000960690306855123</v>
      </c>
      <c r="AV20" s="220" t="n">
        <f aca="false">Algae_electricity_factor/Z20</f>
        <v>0.00095186008982519</v>
      </c>
      <c r="AW20" s="220" t="n">
        <f aca="false">Algae_electricity_factor/AA20</f>
        <v>0.00094642077995761</v>
      </c>
      <c r="AX20" s="220" t="n">
        <f aca="false">Algae_electricity_factor/AB20</f>
        <v>0.000943090358358584</v>
      </c>
      <c r="AY20" s="220" t="n">
        <f aca="false">Algae_electricity_factor/AC20</f>
        <v>0.000941058701326698</v>
      </c>
      <c r="AZ20" s="221" t="n">
        <f aca="false">Algae_yield_cost_factor/H20</f>
        <v>0.103844943846101</v>
      </c>
      <c r="BA20" s="197" t="n">
        <f aca="false">Algae_yield_cost_factor/I20</f>
        <v>0.103844943846101</v>
      </c>
      <c r="BB20" s="197" t="n">
        <f aca="false">Algae_yield_cost_factor/J20</f>
        <v>0.103844943846101</v>
      </c>
      <c r="BC20" s="197" t="n">
        <f aca="false">Algae_yield_cost_factor/K20</f>
        <v>0.103844943846101</v>
      </c>
      <c r="BD20" s="197" t="n">
        <f aca="false">Algae_yield_cost_factor/L20</f>
        <v>0.103844943846101</v>
      </c>
      <c r="BE20" s="197" t="n">
        <f aca="false">Algae_yield_cost_factor/M20</f>
        <v>0.0991430004789433</v>
      </c>
      <c r="BF20" s="197" t="n">
        <f aca="false">Algae_yield_cost_factor/N20</f>
        <v>0.0965228928631194</v>
      </c>
      <c r="BG20" s="197" t="n">
        <f aca="false">Algae_yield_cost_factor/O20</f>
        <v>0.0927847326010188</v>
      </c>
      <c r="BH20" s="197" t="n">
        <f aca="false">Algae_yield_cost_factor/P20</f>
        <v>0.087823665639264</v>
      </c>
      <c r="BI20" s="197" t="n">
        <f aca="false">Algae_yield_cost_factor/Q20</f>
        <v>0.0818358846966996</v>
      </c>
      <c r="BJ20" s="197" t="n">
        <f aca="false">Algae_yield_cost_factor/R20</f>
        <v>0.0753843034897126</v>
      </c>
      <c r="BK20" s="197" t="n">
        <f aca="false">Algae_yield_cost_factor/S20</f>
        <v>0.0692299625640674</v>
      </c>
      <c r="BL20" s="197" t="n">
        <f aca="false">Algae_yield_cost_factor/T20</f>
        <v>0.0640046513641589</v>
      </c>
      <c r="BM20" s="197" t="n">
        <f aca="false">Algae_yield_cost_factor/U20</f>
        <v>0.0599892719565193</v>
      </c>
      <c r="BN20" s="197" t="n">
        <f aca="false">Algae_yield_cost_factor/V20</f>
        <v>0.057133803982312</v>
      </c>
      <c r="BO20" s="197" t="n">
        <f aca="false">Algae_yield_cost_factor/W20</f>
        <v>0.0552132630691604</v>
      </c>
      <c r="BP20" s="197" t="n">
        <f aca="false">Algae_yield_cost_factor/X20</f>
        <v>0.0539694853923229</v>
      </c>
      <c r="BQ20" s="197" t="n">
        <f aca="false">Algae_yield_cost_factor/Y20</f>
        <v>0.0531836115308439</v>
      </c>
      <c r="BR20" s="197" t="n">
        <f aca="false">Algae_yield_cost_factor/Z20</f>
        <v>0.0526947725898221</v>
      </c>
      <c r="BS20" s="197" t="n">
        <f aca="false">Algae_yield_cost_factor/AA20</f>
        <v>0.0523936535497641</v>
      </c>
      <c r="BT20" s="197" t="n">
        <f aca="false">Algae_yield_cost_factor/AB20</f>
        <v>0.0522092821167511</v>
      </c>
      <c r="BU20" s="197" t="n">
        <f aca="false">Algae_yield_cost_factor/AC20</f>
        <v>0.0520968100145797</v>
      </c>
    </row>
    <row r="21" customFormat="false" ht="15" hidden="false" customHeight="false" outlineLevel="0" collapsed="false">
      <c r="A21" s="18" t="s">
        <v>689</v>
      </c>
      <c r="B21" s="18" t="s">
        <v>22</v>
      </c>
      <c r="C21" s="18" t="s">
        <v>685</v>
      </c>
      <c r="D21" s="18" t="s">
        <v>685</v>
      </c>
      <c r="E21" s="28" t="n">
        <v>7.532578</v>
      </c>
      <c r="F21" s="185" t="n">
        <f aca="false">E21/$B$2*$F$3/1000</f>
        <v>0.0184548161</v>
      </c>
      <c r="G21" s="18" t="n">
        <f aca="false">LOOKUP(RIGHT(D21,5),Ref!$C$4:$C$21,Ref!$E$4:$E$21)*$G$3</f>
        <v>4</v>
      </c>
      <c r="H21" s="218" t="n">
        <f aca="false">$E21</f>
        <v>7.532578</v>
      </c>
      <c r="I21" s="177" t="n">
        <f aca="false">$E21</f>
        <v>7.532578</v>
      </c>
      <c r="J21" s="177" t="n">
        <f aca="false">$E21</f>
        <v>7.532578</v>
      </c>
      <c r="K21" s="177" t="n">
        <f aca="false">$E21</f>
        <v>7.532578</v>
      </c>
      <c r="L21" s="177" t="n">
        <f aca="false">$E21</f>
        <v>7.532578</v>
      </c>
      <c r="M21" s="177" t="n">
        <f aca="false">M$3*$E21</f>
        <v>7.88981708892813</v>
      </c>
      <c r="N21" s="177" t="n">
        <f aca="false">N$3*$E21</f>
        <v>8.10398565794806</v>
      </c>
      <c r="O21" s="177" t="n">
        <f aca="false">O$3*$E21</f>
        <v>8.43048330795952</v>
      </c>
      <c r="P21" s="177" t="n">
        <f aca="false">P$3*$E21</f>
        <v>8.90671248726224</v>
      </c>
      <c r="Q21" s="177" t="n">
        <f aca="false">Q$3*$E21</f>
        <v>9.55840023390036</v>
      </c>
      <c r="R21" s="177" t="n">
        <f aca="false">R$3*$E21</f>
        <v>10.3764325358942</v>
      </c>
      <c r="S21" s="177" t="n">
        <f aca="false">S$3*$E21</f>
        <v>11.298867</v>
      </c>
      <c r="T21" s="177" t="n">
        <f aca="false">T$3*$E21</f>
        <v>12.2213014641058</v>
      </c>
      <c r="U21" s="177" t="n">
        <f aca="false">U$3*$E21</f>
        <v>13.0393337660996</v>
      </c>
      <c r="V21" s="177" t="n">
        <f aca="false">V$3*$E21</f>
        <v>13.6910215127378</v>
      </c>
      <c r="W21" s="177" t="n">
        <f aca="false">W$3*$E21</f>
        <v>14.1672506920405</v>
      </c>
      <c r="X21" s="177" t="n">
        <f aca="false">X$3*$E21</f>
        <v>14.4937483420519</v>
      </c>
      <c r="Y21" s="177" t="n">
        <f aca="false">Y$3*$E21</f>
        <v>14.7079169110719</v>
      </c>
      <c r="Z21" s="177" t="n">
        <f aca="false">Z$3*$E21</f>
        <v>14.8443593355114</v>
      </c>
      <c r="AA21" s="177" t="n">
        <f aca="false">AA$3*$E21</f>
        <v>14.9296734705362</v>
      </c>
      <c r="AB21" s="177" t="n">
        <f aca="false">AB$3*$E21</f>
        <v>14.9823959976535</v>
      </c>
      <c r="AC21" s="177" t="n">
        <f aca="false">AC$3*$E21</f>
        <v>15.0147415783705</v>
      </c>
      <c r="AD21" s="219" t="n">
        <f aca="false">Algae_electricity_factor/H21</f>
        <v>0.00182455423674727</v>
      </c>
      <c r="AE21" s="220" t="n">
        <f aca="false">Algae_electricity_factor/I21</f>
        <v>0.00182455423674727</v>
      </c>
      <c r="AF21" s="220" t="n">
        <f aca="false">Algae_electricity_factor/J21</f>
        <v>0.00182455423674727</v>
      </c>
      <c r="AG21" s="220" t="n">
        <f aca="false">Algae_electricity_factor/K21</f>
        <v>0.00182455423674727</v>
      </c>
      <c r="AH21" s="220" t="n">
        <f aca="false">Algae_electricity_factor/L21</f>
        <v>0.00182455423674727</v>
      </c>
      <c r="AI21" s="220" t="n">
        <f aca="false">Algae_electricity_factor/M21</f>
        <v>0.00174194115638192</v>
      </c>
      <c r="AJ21" s="220" t="n">
        <f aca="false">Algae_electricity_factor/N21</f>
        <v>0.0016959059015671</v>
      </c>
      <c r="AK21" s="220" t="n">
        <f aca="false">Algae_electricity_factor/O21</f>
        <v>0.00163022647711709</v>
      </c>
      <c r="AL21" s="220" t="n">
        <f aca="false">Algae_electricity_factor/P21</f>
        <v>0.00154306059875452</v>
      </c>
      <c r="AM21" s="220" t="n">
        <f aca="false">Algae_electricity_factor/Q21</f>
        <v>0.0014378553698542</v>
      </c>
      <c r="AN21" s="220" t="n">
        <f aca="false">Algae_electricity_factor/R21</f>
        <v>0.00132450117667969</v>
      </c>
      <c r="AO21" s="220" t="n">
        <f aca="false">Algae_electricity_factor/S21</f>
        <v>0.00121636949116485</v>
      </c>
      <c r="AP21" s="220" t="n">
        <f aca="false">Algae_electricity_factor/T21</f>
        <v>0.00112456084516812</v>
      </c>
      <c r="AQ21" s="220" t="n">
        <f aca="false">Algae_electricity_factor/U21</f>
        <v>0.00105401068413945</v>
      </c>
      <c r="AR21" s="220" t="n">
        <f aca="false">Algae_electricity_factor/V21</f>
        <v>0.00100384015106123</v>
      </c>
      <c r="AS21" s="220" t="n">
        <f aca="false">Algae_electricity_factor/W21</f>
        <v>0.000970096273601678</v>
      </c>
      <c r="AT21" s="220" t="n">
        <f aca="false">Algae_electricity_factor/X21</f>
        <v>0.000948243116906742</v>
      </c>
      <c r="AU21" s="220" t="n">
        <f aca="false">Algae_electricity_factor/Y21</f>
        <v>0.000934435323956944</v>
      </c>
      <c r="AV21" s="220" t="n">
        <f aca="false">Algae_electricity_factor/Z21</f>
        <v>0.000925846430478892</v>
      </c>
      <c r="AW21" s="220" t="n">
        <f aca="false">Algae_electricity_factor/AA21</f>
        <v>0.000920555773081867</v>
      </c>
      <c r="AX21" s="220" t="n">
        <f aca="false">Algae_electricity_factor/AB21</f>
        <v>0.000917316369536736</v>
      </c>
      <c r="AY21" s="220" t="n">
        <f aca="false">Algae_electricity_factor/AC21</f>
        <v>0.000915340236246733</v>
      </c>
      <c r="AZ21" s="221" t="n">
        <f aca="false">Algae_yield_cost_factor/H21</f>
        <v>0.10100693537939</v>
      </c>
      <c r="BA21" s="197" t="n">
        <f aca="false">Algae_yield_cost_factor/I21</f>
        <v>0.10100693537939</v>
      </c>
      <c r="BB21" s="197" t="n">
        <f aca="false">Algae_yield_cost_factor/J21</f>
        <v>0.10100693537939</v>
      </c>
      <c r="BC21" s="197" t="n">
        <f aca="false">Algae_yield_cost_factor/K21</f>
        <v>0.10100693537939</v>
      </c>
      <c r="BD21" s="197" t="n">
        <f aca="false">Algae_yield_cost_factor/L21</f>
        <v>0.10100693537939</v>
      </c>
      <c r="BE21" s="197" t="n">
        <f aca="false">Algae_yield_cost_factor/M21</f>
        <v>0.096433492780703</v>
      </c>
      <c r="BF21" s="197" t="n">
        <f aca="false">Algae_yield_cost_factor/N21</f>
        <v>0.0938849908427484</v>
      </c>
      <c r="BG21" s="197" t="n">
        <f aca="false">Algae_yield_cost_factor/O21</f>
        <v>0.0902489918422446</v>
      </c>
      <c r="BH21" s="197" t="n">
        <f aca="false">Algae_yield_cost_factor/P21</f>
        <v>0.0854235073125266</v>
      </c>
      <c r="BI21" s="197" t="n">
        <f aca="false">Algae_yield_cost_factor/Q21</f>
        <v>0.0795993681649541</v>
      </c>
      <c r="BJ21" s="197" t="n">
        <f aca="false">Algae_yield_cost_factor/R21</f>
        <v>0.0733241040843573</v>
      </c>
      <c r="BK21" s="197" t="n">
        <f aca="false">Algae_yield_cost_factor/S21</f>
        <v>0.0673379569195936</v>
      </c>
      <c r="BL21" s="197" t="n">
        <f aca="false">Algae_yield_cost_factor/T21</f>
        <v>0.0622554497588352</v>
      </c>
      <c r="BM21" s="197" t="n">
        <f aca="false">Algae_yield_cost_factor/U21</f>
        <v>0.0583498078148975</v>
      </c>
      <c r="BN21" s="197" t="n">
        <f aca="false">Algae_yield_cost_factor/V21</f>
        <v>0.0555723777497793</v>
      </c>
      <c r="BO21" s="197" t="n">
        <f aca="false">Algae_yield_cost_factor/W21</f>
        <v>0.053704323854005</v>
      </c>
      <c r="BP21" s="197" t="n">
        <f aca="false">Algae_yield_cost_factor/X21</f>
        <v>0.0524945377365716</v>
      </c>
      <c r="BQ21" s="197" t="n">
        <f aca="false">Algae_yield_cost_factor/Y21</f>
        <v>0.0517301412488582</v>
      </c>
      <c r="BR21" s="197" t="n">
        <f aca="false">Algae_yield_cost_factor/Z21</f>
        <v>0.0512546619284601</v>
      </c>
      <c r="BS21" s="197" t="n">
        <f aca="false">Algae_yield_cost_factor/AA21</f>
        <v>0.0509617722576282</v>
      </c>
      <c r="BT21" s="197" t="n">
        <f aca="false">Algae_yield_cost_factor/AB21</f>
        <v>0.050782439564765</v>
      </c>
      <c r="BU21" s="197" t="n">
        <f aca="false">Algae_yield_cost_factor/AC21</f>
        <v>0.0506730412451622</v>
      </c>
    </row>
    <row r="22" customFormat="false" ht="15" hidden="false" customHeight="false" outlineLevel="0" collapsed="false">
      <c r="A22" s="18" t="s">
        <v>689</v>
      </c>
      <c r="B22" s="18" t="s">
        <v>22</v>
      </c>
      <c r="C22" s="18" t="s">
        <v>686</v>
      </c>
      <c r="D22" s="18" t="s">
        <v>686</v>
      </c>
      <c r="E22" s="28" t="n">
        <v>7.59711</v>
      </c>
      <c r="F22" s="185" t="n">
        <f aca="false">E22/$B$2*$F$3/1000</f>
        <v>0.0186129195</v>
      </c>
      <c r="G22" s="18" t="n">
        <f aca="false">LOOKUP(RIGHT(D22,5),Ref!$C$4:$C$21,Ref!$E$4:$E$21)*$G$3</f>
        <v>4.5</v>
      </c>
      <c r="H22" s="218" t="n">
        <f aca="false">$E22</f>
        <v>7.59711</v>
      </c>
      <c r="I22" s="177" t="n">
        <f aca="false">$E22</f>
        <v>7.59711</v>
      </c>
      <c r="J22" s="177" t="n">
        <f aca="false">$E22</f>
        <v>7.59711</v>
      </c>
      <c r="K22" s="177" t="n">
        <f aca="false">$E22</f>
        <v>7.59711</v>
      </c>
      <c r="L22" s="177" t="n">
        <f aca="false">$E22</f>
        <v>7.59711</v>
      </c>
      <c r="M22" s="177" t="n">
        <f aca="false">M$3*$E22</f>
        <v>7.95740957537602</v>
      </c>
      <c r="N22" s="177" t="n">
        <f aca="false">N$3*$E22</f>
        <v>8.17341293802119</v>
      </c>
      <c r="O22" s="177" t="n">
        <f aca="false">O$3*$E22</f>
        <v>8.50270771092345</v>
      </c>
      <c r="P22" s="177" t="n">
        <f aca="false">P$3*$E22</f>
        <v>8.98301677116451</v>
      </c>
      <c r="Q22" s="177" t="n">
        <f aca="false">Q$3*$E22</f>
        <v>9.6402875617042</v>
      </c>
      <c r="R22" s="177" t="n">
        <f aca="false">R$3*$E22</f>
        <v>10.4653279903331</v>
      </c>
      <c r="S22" s="177" t="n">
        <f aca="false">S$3*$E22</f>
        <v>11.395665</v>
      </c>
      <c r="T22" s="177" t="n">
        <f aca="false">T$3*$E22</f>
        <v>12.3260020096669</v>
      </c>
      <c r="U22" s="177" t="n">
        <f aca="false">U$3*$E22</f>
        <v>13.1510424382958</v>
      </c>
      <c r="V22" s="177" t="n">
        <f aca="false">V$3*$E22</f>
        <v>13.8083132288355</v>
      </c>
      <c r="W22" s="177" t="n">
        <f aca="false">W$3*$E22</f>
        <v>14.2886222890765</v>
      </c>
      <c r="X22" s="177" t="n">
        <f aca="false">X$3*$E22</f>
        <v>14.6179170619788</v>
      </c>
      <c r="Y22" s="177" t="n">
        <f aca="false">Y$3*$E22</f>
        <v>14.833920424624</v>
      </c>
      <c r="Z22" s="177" t="n">
        <f aca="false">Z$3*$E22</f>
        <v>14.9715317586366</v>
      </c>
      <c r="AA22" s="177" t="n">
        <f aca="false">AA$3*$E22</f>
        <v>15.0575767844349</v>
      </c>
      <c r="AB22" s="177" t="n">
        <f aca="false">AB$3*$E22</f>
        <v>15.1107509882717</v>
      </c>
      <c r="AC22" s="177" t="n">
        <f aca="false">AC$3*$E22</f>
        <v>15.1433736753146</v>
      </c>
      <c r="AD22" s="219" t="n">
        <f aca="false">Algae_electricity_factor/H22</f>
        <v>0.00180905595726918</v>
      </c>
      <c r="AE22" s="220" t="n">
        <f aca="false">Algae_electricity_factor/I22</f>
        <v>0.00180905595726918</v>
      </c>
      <c r="AF22" s="220" t="n">
        <f aca="false">Algae_electricity_factor/J22</f>
        <v>0.00180905595726918</v>
      </c>
      <c r="AG22" s="220" t="n">
        <f aca="false">Algae_electricity_factor/K22</f>
        <v>0.00180905595726918</v>
      </c>
      <c r="AH22" s="220" t="n">
        <f aca="false">Algae_electricity_factor/L22</f>
        <v>0.00180905595726918</v>
      </c>
      <c r="AI22" s="220" t="n">
        <f aca="false">Algae_electricity_factor/M22</f>
        <v>0.0017271446157627</v>
      </c>
      <c r="AJ22" s="220" t="n">
        <f aca="false">Algae_electricity_factor/N22</f>
        <v>0.00168150039741619</v>
      </c>
      <c r="AK22" s="220" t="n">
        <f aca="false">Algae_electricity_factor/O22</f>
        <v>0.00161637887256466</v>
      </c>
      <c r="AL22" s="220" t="n">
        <f aca="false">Algae_electricity_factor/P22</f>
        <v>0.0015299534058142</v>
      </c>
      <c r="AM22" s="220" t="n">
        <f aca="false">Algae_electricity_factor/Q22</f>
        <v>0.00142564181986908</v>
      </c>
      <c r="AN22" s="220" t="n">
        <f aca="false">Algae_electricity_factor/R22</f>
        <v>0.00131325048925598</v>
      </c>
      <c r="AO22" s="220" t="n">
        <f aca="false">Algae_electricity_factor/S22</f>
        <v>0.00120603730484612</v>
      </c>
      <c r="AP22" s="220" t="n">
        <f aca="false">Algae_electricity_factor/T22</f>
        <v>0.00111500850744228</v>
      </c>
      <c r="AQ22" s="220" t="n">
        <f aca="false">Algae_electricity_factor/U22</f>
        <v>0.00104505761942551</v>
      </c>
      <c r="AR22" s="220" t="n">
        <f aca="false">Algae_electricity_factor/V22</f>
        <v>0.000995313249038189</v>
      </c>
      <c r="AS22" s="220" t="n">
        <f aca="false">Algae_electricity_factor/W22</f>
        <v>0.000961856001612979</v>
      </c>
      <c r="AT22" s="220" t="n">
        <f aca="false">Algae_electricity_factor/X22</f>
        <v>0.000940188471808774</v>
      </c>
      <c r="AU22" s="220" t="n">
        <f aca="false">Algae_electricity_factor/Y22</f>
        <v>0.000926497966155676</v>
      </c>
      <c r="AV22" s="220" t="n">
        <f aca="false">Algae_electricity_factor/Z22</f>
        <v>0.000917982029166859</v>
      </c>
      <c r="AW22" s="220" t="n">
        <f aca="false">Algae_electricity_factor/AA22</f>
        <v>0.000912736312109402</v>
      </c>
      <c r="AX22" s="220" t="n">
        <f aca="false">Algae_electricity_factor/AB22</f>
        <v>0.000909524424973745</v>
      </c>
      <c r="AY22" s="220" t="n">
        <f aca="false">Algae_electricity_factor/AC22</f>
        <v>0.000907565077518549</v>
      </c>
      <c r="AZ22" s="221" t="n">
        <f aca="false">Algae_yield_cost_factor/H22</f>
        <v>0.100148953916189</v>
      </c>
      <c r="BA22" s="197" t="n">
        <f aca="false">Algae_yield_cost_factor/I22</f>
        <v>0.100148953916189</v>
      </c>
      <c r="BB22" s="197" t="n">
        <f aca="false">Algae_yield_cost_factor/J22</f>
        <v>0.100148953916189</v>
      </c>
      <c r="BC22" s="197" t="n">
        <f aca="false">Algae_yield_cost_factor/K22</f>
        <v>0.100148953916189</v>
      </c>
      <c r="BD22" s="197" t="n">
        <f aca="false">Algae_yield_cost_factor/L22</f>
        <v>0.100148953916189</v>
      </c>
      <c r="BE22" s="197" t="n">
        <f aca="false">Algae_yield_cost_factor/M22</f>
        <v>0.0956143594318211</v>
      </c>
      <c r="BF22" s="197" t="n">
        <f aca="false">Algae_yield_cost_factor/N22</f>
        <v>0.0930875051897745</v>
      </c>
      <c r="BG22" s="197" t="n">
        <f aca="false">Algae_yield_cost_factor/O22</f>
        <v>0.0894823913926574</v>
      </c>
      <c r="BH22" s="197" t="n">
        <f aca="false">Algae_yield_cost_factor/P22</f>
        <v>0.084697895892672</v>
      </c>
      <c r="BI22" s="197" t="n">
        <f aca="false">Algae_yield_cost_factor/Q22</f>
        <v>0.0789232286294701</v>
      </c>
      <c r="BJ22" s="197" t="n">
        <f aca="false">Algae_yield_cost_factor/R22</f>
        <v>0.0727012684159555</v>
      </c>
      <c r="BK22" s="197" t="n">
        <f aca="false">Algae_yield_cost_factor/S22</f>
        <v>0.0667659692774593</v>
      </c>
      <c r="BL22" s="197" t="n">
        <f aca="false">Algae_yield_cost_factor/T22</f>
        <v>0.0617266343693203</v>
      </c>
      <c r="BM22" s="197" t="n">
        <f aca="false">Algae_yield_cost_factor/U22</f>
        <v>0.0578541680521573</v>
      </c>
      <c r="BN22" s="197" t="n">
        <f aca="false">Algae_yield_cost_factor/V22</f>
        <v>0.055100330263176</v>
      </c>
      <c r="BO22" s="197" t="n">
        <f aca="false">Algae_yield_cost_factor/W22</f>
        <v>0.0532481441452806</v>
      </c>
      <c r="BP22" s="197" t="n">
        <f aca="false">Algae_yield_cost_factor/X22</f>
        <v>0.0520486342931284</v>
      </c>
      <c r="BQ22" s="197" t="n">
        <f aca="false">Algae_yield_cost_factor/Y22</f>
        <v>0.0512907308052722</v>
      </c>
      <c r="BR22" s="197" t="n">
        <f aca="false">Algae_yield_cost_factor/Z22</f>
        <v>0.0508192903406369</v>
      </c>
      <c r="BS22" s="197" t="n">
        <f aca="false">Algae_yield_cost_factor/AA22</f>
        <v>0.0505288885574673</v>
      </c>
      <c r="BT22" s="197" t="n">
        <f aca="false">Algae_yield_cost_factor/AB22</f>
        <v>0.0503510791671936</v>
      </c>
      <c r="BU22" s="197" t="n">
        <f aca="false">Algae_yield_cost_factor/AC22</f>
        <v>0.0502426101078438</v>
      </c>
    </row>
    <row r="23" customFormat="false" ht="15" hidden="false" customHeight="false" outlineLevel="0" collapsed="false">
      <c r="A23" s="18" t="s">
        <v>689</v>
      </c>
      <c r="B23" s="18" t="s">
        <v>22</v>
      </c>
      <c r="C23" s="18" t="s">
        <v>687</v>
      </c>
      <c r="D23" s="18" t="s">
        <v>687</v>
      </c>
      <c r="E23" s="28" t="n">
        <v>7.640545</v>
      </c>
      <c r="F23" s="185" t="n">
        <f aca="false">E23/$B$2*$F$3/1000</f>
        <v>0.01871933525</v>
      </c>
      <c r="G23" s="18" t="n">
        <f aca="false">LOOKUP(RIGHT(D23,5),Ref!$C$4:$C$21,Ref!$E$4:$E$21)*$G$3</f>
        <v>4.5</v>
      </c>
      <c r="H23" s="218" t="n">
        <f aca="false">$E23</f>
        <v>7.640545</v>
      </c>
      <c r="I23" s="177" t="n">
        <f aca="false">$E23</f>
        <v>7.640545</v>
      </c>
      <c r="J23" s="177" t="n">
        <f aca="false">$E23</f>
        <v>7.640545</v>
      </c>
      <c r="K23" s="177" t="n">
        <f aca="false">$E23</f>
        <v>7.640545</v>
      </c>
      <c r="L23" s="177" t="n">
        <f aca="false">$E23</f>
        <v>7.640545</v>
      </c>
      <c r="M23" s="177" t="n">
        <f aca="false">M$3*$E23</f>
        <v>8.00290451817749</v>
      </c>
      <c r="N23" s="177" t="n">
        <f aca="false">N$3*$E23</f>
        <v>8.22014283807041</v>
      </c>
      <c r="O23" s="177" t="n">
        <f aca="false">O$3*$E23</f>
        <v>8.55132028984148</v>
      </c>
      <c r="P23" s="177" t="n">
        <f aca="false">P$3*$E23</f>
        <v>9.03437542379104</v>
      </c>
      <c r="Q23" s="177" t="n">
        <f aca="false">Q$3*$E23</f>
        <v>9.69540403234141</v>
      </c>
      <c r="R23" s="177" t="n">
        <f aca="false">R$3*$E23</f>
        <v>10.5251614692823</v>
      </c>
      <c r="S23" s="177" t="n">
        <f aca="false">S$3*$E23</f>
        <v>11.4608175</v>
      </c>
      <c r="T23" s="177" t="n">
        <f aca="false">T$3*$E23</f>
        <v>12.3964735307177</v>
      </c>
      <c r="U23" s="177" t="n">
        <f aca="false">U$3*$E23</f>
        <v>13.2262309676586</v>
      </c>
      <c r="V23" s="177" t="n">
        <f aca="false">V$3*$E23</f>
        <v>13.887259576209</v>
      </c>
      <c r="W23" s="177" t="n">
        <f aca="false">W$3*$E23</f>
        <v>14.3703147101585</v>
      </c>
      <c r="X23" s="177" t="n">
        <f aca="false">X$3*$E23</f>
        <v>14.7014921619296</v>
      </c>
      <c r="Y23" s="177" t="n">
        <f aca="false">Y$3*$E23</f>
        <v>14.9187304818225</v>
      </c>
      <c r="Z23" s="177" t="n">
        <f aca="false">Z$3*$E23</f>
        <v>15.0571285818939</v>
      </c>
      <c r="AA23" s="177" t="n">
        <f aca="false">AA$3*$E23</f>
        <v>15.1436655534052</v>
      </c>
      <c r="AB23" s="177" t="n">
        <f aca="false">AB$3*$E23</f>
        <v>15.1971437704185</v>
      </c>
      <c r="AC23" s="177" t="n">
        <f aca="false">AC$3*$E23</f>
        <v>15.2299529713347</v>
      </c>
      <c r="AD23" s="219" t="n">
        <f aca="false">Algae_electricity_factor/H23</f>
        <v>0.00179877182891132</v>
      </c>
      <c r="AE23" s="220" t="n">
        <f aca="false">Algae_electricity_factor/I23</f>
        <v>0.00179877182891132</v>
      </c>
      <c r="AF23" s="220" t="n">
        <f aca="false">Algae_electricity_factor/J23</f>
        <v>0.00179877182891132</v>
      </c>
      <c r="AG23" s="220" t="n">
        <f aca="false">Algae_electricity_factor/K23</f>
        <v>0.00179877182891132</v>
      </c>
      <c r="AH23" s="220" t="n">
        <f aca="false">Algae_electricity_factor/L23</f>
        <v>0.00179877182891132</v>
      </c>
      <c r="AI23" s="220" t="n">
        <f aca="false">Algae_electricity_factor/M23</f>
        <v>0.00171732613731834</v>
      </c>
      <c r="AJ23" s="220" t="n">
        <f aca="false">Algae_electricity_factor/N23</f>
        <v>0.00167194139740222</v>
      </c>
      <c r="AK23" s="220" t="n">
        <f aca="false">Algae_electricity_factor/O23</f>
        <v>0.00160719007564901</v>
      </c>
      <c r="AL23" s="220" t="n">
        <f aca="false">Algae_electricity_factor/P23</f>
        <v>0.00152125592072884</v>
      </c>
      <c r="AM23" s="220" t="n">
        <f aca="false">Algae_electricity_factor/Q23</f>
        <v>0.00141753732569412</v>
      </c>
      <c r="AN23" s="220" t="n">
        <f aca="false">Algae_electricity_factor/R23</f>
        <v>0.00130578491775541</v>
      </c>
      <c r="AO23" s="220" t="n">
        <f aca="false">Algae_electricity_factor/S23</f>
        <v>0.00119918121927421</v>
      </c>
      <c r="AP23" s="220" t="n">
        <f aca="false">Algae_electricity_factor/T23</f>
        <v>0.0011086699027327</v>
      </c>
      <c r="AQ23" s="220" t="n">
        <f aca="false">Algae_electricity_factor/U23</f>
        <v>0.00103911667179681</v>
      </c>
      <c r="AR23" s="220" t="n">
        <f aca="false">Algae_electricity_factor/V23</f>
        <v>0.000989655088400175</v>
      </c>
      <c r="AS23" s="220" t="n">
        <f aca="false">Algae_electricity_factor/W23</f>
        <v>0.000956388038865549</v>
      </c>
      <c r="AT23" s="220" t="n">
        <f aca="false">Algae_electricity_factor/X23</f>
        <v>0.000934843684719238</v>
      </c>
      <c r="AU23" s="220" t="n">
        <f aca="false">Algae_electricity_factor/Y23</f>
        <v>0.000921231006906045</v>
      </c>
      <c r="AV23" s="220" t="n">
        <f aca="false">Algae_electricity_factor/Z23</f>
        <v>0.000912763481349018</v>
      </c>
      <c r="AW23" s="220" t="n">
        <f aca="false">Algae_electricity_factor/AA23</f>
        <v>0.000907547585164339</v>
      </c>
      <c r="AX23" s="220" t="n">
        <f aca="false">Algae_electricity_factor/AB23</f>
        <v>0.00090435395697719</v>
      </c>
      <c r="AY23" s="220" t="n">
        <f aca="false">Algae_electricity_factor/AC23</f>
        <v>0.000902405748028046</v>
      </c>
      <c r="AZ23" s="221" t="n">
        <f aca="false">Algae_yield_cost_factor/H23</f>
        <v>0.0995796267525704</v>
      </c>
      <c r="BA23" s="197" t="n">
        <f aca="false">Algae_yield_cost_factor/I23</f>
        <v>0.0995796267525704</v>
      </c>
      <c r="BB23" s="197" t="n">
        <f aca="false">Algae_yield_cost_factor/J23</f>
        <v>0.0995796267525704</v>
      </c>
      <c r="BC23" s="197" t="n">
        <f aca="false">Algae_yield_cost_factor/K23</f>
        <v>0.0995796267525704</v>
      </c>
      <c r="BD23" s="197" t="n">
        <f aca="false">Algae_yield_cost_factor/L23</f>
        <v>0.0995796267525704</v>
      </c>
      <c r="BE23" s="197" t="n">
        <f aca="false">Algae_yield_cost_factor/M23</f>
        <v>0.0950708105486038</v>
      </c>
      <c r="BF23" s="197" t="n">
        <f aca="false">Algae_yield_cost_factor/N23</f>
        <v>0.0925583209774025</v>
      </c>
      <c r="BG23" s="197" t="n">
        <f aca="false">Algae_yield_cost_factor/O23</f>
        <v>0.0889737015452525</v>
      </c>
      <c r="BH23" s="197" t="n">
        <f aca="false">Algae_yield_cost_factor/P23</f>
        <v>0.0842164049639361</v>
      </c>
      <c r="BI23" s="197" t="n">
        <f aca="false">Algae_yield_cost_factor/Q23</f>
        <v>0.0784745655517026</v>
      </c>
      <c r="BJ23" s="197" t="n">
        <f aca="false">Algae_yield_cost_factor/R23</f>
        <v>0.072287975961864</v>
      </c>
      <c r="BK23" s="197" t="n">
        <f aca="false">Algae_yield_cost_factor/S23</f>
        <v>0.0663864178350469</v>
      </c>
      <c r="BL23" s="197" t="n">
        <f aca="false">Algae_yield_cost_factor/T23</f>
        <v>0.0613757305576379</v>
      </c>
      <c r="BM23" s="197" t="n">
        <f aca="false">Algae_yield_cost_factor/U23</f>
        <v>0.0575252784520901</v>
      </c>
      <c r="BN23" s="197" t="n">
        <f aca="false">Algae_yield_cost_factor/V23</f>
        <v>0.0547870956909065</v>
      </c>
      <c r="BO23" s="197" t="n">
        <f aca="false">Algae_yield_cost_factor/W23</f>
        <v>0.0529454388878742</v>
      </c>
      <c r="BP23" s="197" t="n">
        <f aca="false">Algae_yield_cost_factor/X23</f>
        <v>0.0517527480140054</v>
      </c>
      <c r="BQ23" s="197" t="n">
        <f aca="false">Algae_yield_cost_factor/Y23</f>
        <v>0.0509991530588514</v>
      </c>
      <c r="BR23" s="197" t="n">
        <f aca="false">Algae_yield_cost_factor/Z23</f>
        <v>0.0505303926408072</v>
      </c>
      <c r="BS23" s="197" t="n">
        <f aca="false">Algae_yield_cost_factor/AA23</f>
        <v>0.0502416417348266</v>
      </c>
      <c r="BT23" s="197" t="n">
        <f aca="false">Algae_yield_cost_factor/AB23</f>
        <v>0.0500648431560679</v>
      </c>
      <c r="BU23" s="197" t="n">
        <f aca="false">Algae_yield_cost_factor/AC23</f>
        <v>0.0499569907220495</v>
      </c>
    </row>
    <row r="24" customFormat="false" ht="15" hidden="false" customHeight="false" outlineLevel="0" collapsed="false">
      <c r="A24" s="18" t="s">
        <v>689</v>
      </c>
      <c r="B24" s="18" t="s">
        <v>22</v>
      </c>
      <c r="C24" s="18" t="s">
        <v>688</v>
      </c>
      <c r="D24" s="18" t="s">
        <v>688</v>
      </c>
      <c r="E24" s="28" t="n">
        <v>7.493304</v>
      </c>
      <c r="F24" s="185" t="n">
        <f aca="false">E24/$B$2*$F$3/1000</f>
        <v>0.0183585948</v>
      </c>
      <c r="G24" s="18" t="n">
        <f aca="false">LOOKUP(RIGHT(D24,5),Ref!$C$4:$C$21,Ref!$E$4:$E$21)*$G$3</f>
        <v>4.5</v>
      </c>
      <c r="H24" s="218" t="n">
        <f aca="false">$E24</f>
        <v>7.493304</v>
      </c>
      <c r="I24" s="177" t="n">
        <f aca="false">$E24</f>
        <v>7.493304</v>
      </c>
      <c r="J24" s="177" t="n">
        <f aca="false">$E24</f>
        <v>7.493304</v>
      </c>
      <c r="K24" s="177" t="n">
        <f aca="false">$E24</f>
        <v>7.493304</v>
      </c>
      <c r="L24" s="177" t="n">
        <f aca="false">$E24</f>
        <v>7.493304</v>
      </c>
      <c r="M24" s="177" t="n">
        <f aca="false">M$3*$E24</f>
        <v>7.84868048518495</v>
      </c>
      <c r="N24" s="177" t="n">
        <f aca="false">N$3*$E24</f>
        <v>8.0617324037859</v>
      </c>
      <c r="O24" s="177" t="n">
        <f aca="false">O$3*$E24</f>
        <v>8.38652773240002</v>
      </c>
      <c r="P24" s="177" t="n">
        <f aca="false">P$3*$E24</f>
        <v>8.86027390724027</v>
      </c>
      <c r="Q24" s="177" t="n">
        <f aca="false">Q$3*$E24</f>
        <v>9.50856382851747</v>
      </c>
      <c r="R24" s="177" t="n">
        <f aca="false">R$3*$E24</f>
        <v>10.3223310036678</v>
      </c>
      <c r="S24" s="177" t="n">
        <f aca="false">S$3*$E24</f>
        <v>11.239956</v>
      </c>
      <c r="T24" s="177" t="n">
        <f aca="false">T$3*$E24</f>
        <v>12.1575809963322</v>
      </c>
      <c r="U24" s="177" t="n">
        <f aca="false">U$3*$E24</f>
        <v>12.9713481714825</v>
      </c>
      <c r="V24" s="177" t="n">
        <f aca="false">V$3*$E24</f>
        <v>13.6196380927597</v>
      </c>
      <c r="W24" s="177" t="n">
        <f aca="false">W$3*$E24</f>
        <v>14.0933842676</v>
      </c>
      <c r="X24" s="177" t="n">
        <f aca="false">X$3*$E24</f>
        <v>14.4181795962141</v>
      </c>
      <c r="Y24" s="177" t="n">
        <f aca="false">Y$3*$E24</f>
        <v>14.631231514815</v>
      </c>
      <c r="Z24" s="177" t="n">
        <f aca="false">Z$3*$E24</f>
        <v>14.7669625440619</v>
      </c>
      <c r="AA24" s="177" t="n">
        <f aca="false">AA$3*$E24</f>
        <v>14.8518318609462</v>
      </c>
      <c r="AB24" s="177" t="n">
        <f aca="false">AB$3*$E24</f>
        <v>14.9042794988384</v>
      </c>
      <c r="AC24" s="177" t="n">
        <f aca="false">AC$3*$E24</f>
        <v>14.9364564333977</v>
      </c>
      <c r="AD24" s="219" t="n">
        <f aca="false">Algae_electricity_factor/H24</f>
        <v>0.00183411711356289</v>
      </c>
      <c r="AE24" s="220" t="n">
        <f aca="false">Algae_electricity_factor/I24</f>
        <v>0.00183411711356289</v>
      </c>
      <c r="AF24" s="220" t="n">
        <f aca="false">Algae_electricity_factor/J24</f>
        <v>0.00183411711356289</v>
      </c>
      <c r="AG24" s="220" t="n">
        <f aca="false">Algae_electricity_factor/K24</f>
        <v>0.00183411711356289</v>
      </c>
      <c r="AH24" s="220" t="n">
        <f aca="false">Algae_electricity_factor/L24</f>
        <v>0.00183411711356289</v>
      </c>
      <c r="AI24" s="220" t="n">
        <f aca="false">Algae_electricity_factor/M24</f>
        <v>0.00175107104047253</v>
      </c>
      <c r="AJ24" s="220" t="n">
        <f aca="false">Algae_electricity_factor/N24</f>
        <v>0.00170479450509608</v>
      </c>
      <c r="AK24" s="220" t="n">
        <f aca="false">Algae_electricity_factor/O24</f>
        <v>0.0016387708408133</v>
      </c>
      <c r="AL24" s="220" t="n">
        <f aca="false">Algae_electricity_factor/P24</f>
        <v>0.0015511481075431</v>
      </c>
      <c r="AM24" s="220" t="n">
        <f aca="false">Algae_electricity_factor/Q24</f>
        <v>0.00144539147566222</v>
      </c>
      <c r="AN24" s="220" t="n">
        <f aca="false">Algae_electricity_factor/R24</f>
        <v>0.0013314431690522</v>
      </c>
      <c r="AO24" s="220" t="n">
        <f aca="false">Algae_electricity_factor/S24</f>
        <v>0.00122274474237526</v>
      </c>
      <c r="AP24" s="220" t="n">
        <f aca="false">Algae_electricity_factor/T24</f>
        <v>0.00113045490773827</v>
      </c>
      <c r="AQ24" s="220" t="n">
        <f aca="false">Algae_electricity_factor/U24</f>
        <v>0.00105953497831047</v>
      </c>
      <c r="AR24" s="220" t="n">
        <f aca="false">Algae_electricity_factor/V24</f>
        <v>0.00100910149079772</v>
      </c>
      <c r="AS24" s="220" t="n">
        <f aca="false">Algae_electricity_factor/W24</f>
        <v>0.000975180754499481</v>
      </c>
      <c r="AT24" s="220" t="n">
        <f aca="false">Algae_electricity_factor/X24</f>
        <v>0.000953213060762402</v>
      </c>
      <c r="AU24" s="220" t="n">
        <f aca="false">Algae_electricity_factor/Y24</f>
        <v>0.000939332898233002</v>
      </c>
      <c r="AV24" s="220" t="n">
        <f aca="false">Algae_electricity_factor/Z24</f>
        <v>0.000930698988537477</v>
      </c>
      <c r="AW24" s="220" t="n">
        <f aca="false">Algae_electricity_factor/AA24</f>
        <v>0.000925380601679775</v>
      </c>
      <c r="AX24" s="220" t="n">
        <f aca="false">Algae_electricity_factor/AB24</f>
        <v>0.000922124219731681</v>
      </c>
      <c r="AY24" s="220" t="n">
        <f aca="false">Algae_electricity_factor/AC24</f>
        <v>0.000920137729106806</v>
      </c>
      <c r="AZ24" s="221" t="n">
        <f aca="false">Algae_yield_cost_factor/H24</f>
        <v>0.101536334210679</v>
      </c>
      <c r="BA24" s="197" t="n">
        <f aca="false">Algae_yield_cost_factor/I24</f>
        <v>0.101536334210679</v>
      </c>
      <c r="BB24" s="197" t="n">
        <f aca="false">Algae_yield_cost_factor/J24</f>
        <v>0.101536334210679</v>
      </c>
      <c r="BC24" s="197" t="n">
        <f aca="false">Algae_yield_cost_factor/K24</f>
        <v>0.101536334210679</v>
      </c>
      <c r="BD24" s="197" t="n">
        <f aca="false">Algae_yield_cost_factor/L24</f>
        <v>0.101536334210679</v>
      </c>
      <c r="BE24" s="197" t="n">
        <f aca="false">Algae_yield_cost_factor/M24</f>
        <v>0.0969389212266154</v>
      </c>
      <c r="BF24" s="197" t="n">
        <f aca="false">Algae_yield_cost_factor/N24</f>
        <v>0.0943770620479682</v>
      </c>
      <c r="BG24" s="197" t="n">
        <f aca="false">Algae_yield_cost_factor/O24</f>
        <v>0.0907220060033693</v>
      </c>
      <c r="BH24" s="197" t="n">
        <f aca="false">Algae_yield_cost_factor/P24</f>
        <v>0.0858712300829083</v>
      </c>
      <c r="BI24" s="197" t="n">
        <f aca="false">Algae_yield_cost_factor/Q24</f>
        <v>0.0800165653833387</v>
      </c>
      <c r="BJ24" s="197" t="n">
        <f aca="false">Algae_yield_cost_factor/R24</f>
        <v>0.073708411309022</v>
      </c>
      <c r="BK24" s="197" t="n">
        <f aca="false">Algae_yield_cost_factor/S24</f>
        <v>0.067690889473786</v>
      </c>
      <c r="BL24" s="197" t="n">
        <f aca="false">Algae_yield_cost_factor/T24</f>
        <v>0.0625817438120097</v>
      </c>
      <c r="BM24" s="197" t="n">
        <f aca="false">Algae_yield_cost_factor/U24</f>
        <v>0.0586556315679605</v>
      </c>
      <c r="BN24" s="197" t="n">
        <f aca="false">Algae_yield_cost_factor/V24</f>
        <v>0.055863644401145</v>
      </c>
      <c r="BO24" s="197" t="n">
        <f aca="false">Algae_yield_cost_factor/W24</f>
        <v>0.0539857996375902</v>
      </c>
      <c r="BP24" s="197" t="n">
        <f aca="false">Algae_yield_cost_factor/X24</f>
        <v>0.0527696727738083</v>
      </c>
      <c r="BQ24" s="197" t="n">
        <f aca="false">Algae_yield_cost_factor/Y24</f>
        <v>0.0520012699215248</v>
      </c>
      <c r="BR24" s="197" t="n">
        <f aca="false">Algae_yield_cost_factor/Z24</f>
        <v>0.0515232985128798</v>
      </c>
      <c r="BS24" s="197" t="n">
        <f aca="false">Algae_yield_cost_factor/AA24</f>
        <v>0.0512288737449889</v>
      </c>
      <c r="BT24" s="197" t="n">
        <f aca="false">Algae_yield_cost_factor/AB24</f>
        <v>0.0510486011313405</v>
      </c>
      <c r="BU24" s="197" t="n">
        <f aca="false">Algae_yield_cost_factor/AC24</f>
        <v>0.050938629431877</v>
      </c>
    </row>
    <row r="25" customFormat="false" ht="15" hidden="false" customHeight="false" outlineLevel="0" collapsed="false">
      <c r="A25" s="18" t="s">
        <v>695</v>
      </c>
      <c r="B25" s="18" t="s">
        <v>22</v>
      </c>
      <c r="C25" s="18" t="s">
        <v>690</v>
      </c>
      <c r="D25" s="18" t="s">
        <v>690</v>
      </c>
      <c r="E25" s="28" t="n">
        <v>7.74384</v>
      </c>
      <c r="F25" s="185" t="n">
        <f aca="false">E25/$B$2*$F$3/1000</f>
        <v>0.018972408</v>
      </c>
      <c r="G25" s="18" t="n">
        <f aca="false">LOOKUP(RIGHT(D25,5),Ref!$C$4:$C$21,Ref!$E$4:$E$21)*$G$3</f>
        <v>1.5</v>
      </c>
      <c r="H25" s="218" t="n">
        <f aca="false">$E25</f>
        <v>7.74384</v>
      </c>
      <c r="I25" s="177" t="n">
        <f aca="false">$E25</f>
        <v>7.74384</v>
      </c>
      <c r="J25" s="177" t="n">
        <f aca="false">$E25</f>
        <v>7.74384</v>
      </c>
      <c r="K25" s="177" t="n">
        <f aca="false">$E25</f>
        <v>7.74384</v>
      </c>
      <c r="L25" s="177" t="n">
        <f aca="false">$E25</f>
        <v>7.74384</v>
      </c>
      <c r="M25" s="177" t="n">
        <f aca="false">M$3*$E25</f>
        <v>8.11109837374737</v>
      </c>
      <c r="N25" s="177" t="n">
        <f aca="false">N$3*$E25</f>
        <v>8.33127360877571</v>
      </c>
      <c r="O25" s="177" t="n">
        <f aca="false">O$3*$E25</f>
        <v>8.66692835567175</v>
      </c>
      <c r="P25" s="177" t="n">
        <f aca="false">P$3*$E25</f>
        <v>9.15651406827261</v>
      </c>
      <c r="Q25" s="177" t="n">
        <f aca="false">Q$3*$E25</f>
        <v>9.82647933646182</v>
      </c>
      <c r="R25" s="177" t="n">
        <f aca="false">R$3*$E25</f>
        <v>10.6674545326658</v>
      </c>
      <c r="S25" s="177" t="n">
        <f aca="false">S$3*$E25</f>
        <v>11.61576</v>
      </c>
      <c r="T25" s="177" t="n">
        <f aca="false">T$3*$E25</f>
        <v>12.5640654673342</v>
      </c>
      <c r="U25" s="177" t="n">
        <f aca="false">U$3*$E25</f>
        <v>13.4050406635382</v>
      </c>
      <c r="V25" s="177" t="n">
        <f aca="false">V$3*$E25</f>
        <v>14.0750059317274</v>
      </c>
      <c r="W25" s="177" t="n">
        <f aca="false">W$3*$E25</f>
        <v>14.5645916443282</v>
      </c>
      <c r="X25" s="177" t="n">
        <f aca="false">X$3*$E25</f>
        <v>14.9002463912243</v>
      </c>
      <c r="Y25" s="177" t="n">
        <f aca="false">Y$3*$E25</f>
        <v>15.1204216262526</v>
      </c>
      <c r="Z25" s="177" t="n">
        <f aca="false">Z$3*$E25</f>
        <v>15.2606907750184</v>
      </c>
      <c r="AA25" s="177" t="n">
        <f aca="false">AA$3*$E25</f>
        <v>15.3483976678472</v>
      </c>
      <c r="AB25" s="177" t="n">
        <f aca="false">AB$3*$E25</f>
        <v>15.4025988741795</v>
      </c>
      <c r="AC25" s="177" t="n">
        <f aca="false">AC$3*$E25</f>
        <v>15.4358516332985</v>
      </c>
      <c r="AD25" s="219" t="n">
        <f aca="false">Algae_electricity_factor/H25</f>
        <v>0.00177477803047703</v>
      </c>
      <c r="AE25" s="220" t="n">
        <f aca="false">Algae_electricity_factor/I25</f>
        <v>0.00177477803047703</v>
      </c>
      <c r="AF25" s="220" t="n">
        <f aca="false">Algae_electricity_factor/J25</f>
        <v>0.00177477803047703</v>
      </c>
      <c r="AG25" s="220" t="n">
        <f aca="false">Algae_electricity_factor/K25</f>
        <v>0.00177477803047703</v>
      </c>
      <c r="AH25" s="220" t="n">
        <f aca="false">Algae_electricity_factor/L25</f>
        <v>0.00177477803047703</v>
      </c>
      <c r="AI25" s="220" t="n">
        <f aca="false">Algae_electricity_factor/M25</f>
        <v>0.0016944187421043</v>
      </c>
      <c r="AJ25" s="220" t="n">
        <f aca="false">Algae_electricity_factor/N25</f>
        <v>0.00164963938875474</v>
      </c>
      <c r="AK25" s="220" t="n">
        <f aca="false">Algae_electricity_factor/O25</f>
        <v>0.00158575178419875</v>
      </c>
      <c r="AL25" s="220" t="n">
        <f aca="false">Algae_electricity_factor/P25</f>
        <v>0.00150096390406377</v>
      </c>
      <c r="AM25" s="220" t="n">
        <f aca="false">Algae_electricity_factor/Q25</f>
        <v>0.00139862881027315</v>
      </c>
      <c r="AN25" s="220" t="n">
        <f aca="false">Algae_electricity_factor/R25</f>
        <v>0.00128836706652404</v>
      </c>
      <c r="AO25" s="220" t="n">
        <f aca="false">Algae_electricity_factor/S25</f>
        <v>0.00118318535365135</v>
      </c>
      <c r="AP25" s="220" t="n">
        <f aca="false">Algae_electricity_factor/T25</f>
        <v>0.00109388136660556</v>
      </c>
      <c r="AQ25" s="220" t="n">
        <f aca="false">Algae_electricity_factor/U25</f>
        <v>0.00102525590548278</v>
      </c>
      <c r="AR25" s="220" t="n">
        <f aca="false">Algae_electricity_factor/V25</f>
        <v>0.000976454089624852</v>
      </c>
      <c r="AS25" s="220" t="n">
        <f aca="false">Algae_electricity_factor/W25</f>
        <v>0.000943630788912733</v>
      </c>
      <c r="AT25" s="220" t="n">
        <f aca="false">Algae_electricity_factor/X25</f>
        <v>0.000922373814678913</v>
      </c>
      <c r="AU25" s="220" t="n">
        <f aca="false">Algae_electricity_factor/Y25</f>
        <v>0.000908942716231346</v>
      </c>
      <c r="AV25" s="220" t="n">
        <f aca="false">Algae_electricity_factor/Z25</f>
        <v>0.000900588138908324</v>
      </c>
      <c r="AW25" s="220" t="n">
        <f aca="false">Algae_electricity_factor/AA25</f>
        <v>0.000895441817507782</v>
      </c>
      <c r="AX25" s="220" t="n">
        <f aca="false">Algae_electricity_factor/AB25</f>
        <v>0.000892290789093303</v>
      </c>
      <c r="AY25" s="220" t="n">
        <f aca="false">Algae_electricity_factor/AC25</f>
        <v>0.000890368567282762</v>
      </c>
      <c r="AZ25" s="221" t="n">
        <f aca="false">Algae_yield_cost_factor/H25</f>
        <v>0.0982513351626865</v>
      </c>
      <c r="BA25" s="197" t="n">
        <f aca="false">Algae_yield_cost_factor/I25</f>
        <v>0.0982513351626865</v>
      </c>
      <c r="BB25" s="197" t="n">
        <f aca="false">Algae_yield_cost_factor/J25</f>
        <v>0.0982513351626865</v>
      </c>
      <c r="BC25" s="197" t="n">
        <f aca="false">Algae_yield_cost_factor/K25</f>
        <v>0.0982513351626865</v>
      </c>
      <c r="BD25" s="197" t="n">
        <f aca="false">Algae_yield_cost_factor/L25</f>
        <v>0.0982513351626865</v>
      </c>
      <c r="BE25" s="197" t="n">
        <f aca="false">Algae_yield_cost_factor/M25</f>
        <v>0.0938026620104602</v>
      </c>
      <c r="BF25" s="197" t="n">
        <f aca="false">Algae_yield_cost_factor/N25</f>
        <v>0.0913236865111221</v>
      </c>
      <c r="BG25" s="197" t="n">
        <f aca="false">Algae_yield_cost_factor/O25</f>
        <v>0.0877868822797309</v>
      </c>
      <c r="BH25" s="197" t="n">
        <f aca="false">Algae_yield_cost_factor/P25</f>
        <v>0.0830930432272848</v>
      </c>
      <c r="BI25" s="197" t="n">
        <f aca="false">Algae_yield_cost_factor/Q25</f>
        <v>0.0774277941503484</v>
      </c>
      <c r="BJ25" s="197" t="n">
        <f aca="false">Algae_yield_cost_factor/R25</f>
        <v>0.0713237274137301</v>
      </c>
      <c r="BK25" s="197" t="n">
        <f aca="false">Algae_yield_cost_factor/S25</f>
        <v>0.0655008901084576</v>
      </c>
      <c r="BL25" s="197" t="n">
        <f aca="false">Algae_yield_cost_factor/T25</f>
        <v>0.0605570403357388</v>
      </c>
      <c r="BM25" s="197" t="n">
        <f aca="false">Algae_yield_cost_factor/U25</f>
        <v>0.0567579493701736</v>
      </c>
      <c r="BN25" s="197" t="n">
        <f aca="false">Algae_yield_cost_factor/V25</f>
        <v>0.0540562911999314</v>
      </c>
      <c r="BO25" s="197" t="n">
        <f aca="false">Algae_yield_cost_factor/W25</f>
        <v>0.0522392002375505</v>
      </c>
      <c r="BP25" s="197" t="n">
        <f aca="false">Algae_yield_cost_factor/X25</f>
        <v>0.0510624186546557</v>
      </c>
      <c r="BQ25" s="197" t="n">
        <f aca="false">Algae_yield_cost_factor/Y25</f>
        <v>0.050318875894652</v>
      </c>
      <c r="BR25" s="197" t="n">
        <f aca="false">Algae_yield_cost_factor/Z25</f>
        <v>0.0498563682668748</v>
      </c>
      <c r="BS25" s="197" t="n">
        <f aca="false">Algae_yield_cost_factor/AA25</f>
        <v>0.0495714690061805</v>
      </c>
      <c r="BT25" s="197" t="n">
        <f aca="false">Algae_yield_cost_factor/AB25</f>
        <v>0.0493970287417972</v>
      </c>
      <c r="BU25" s="197" t="n">
        <f aca="false">Algae_yield_cost_factor/AC25</f>
        <v>0.0492906149502574</v>
      </c>
    </row>
    <row r="26" customFormat="false" ht="15" hidden="false" customHeight="false" outlineLevel="0" collapsed="false">
      <c r="A26" s="18" t="s">
        <v>695</v>
      </c>
      <c r="B26" s="18" t="s">
        <v>22</v>
      </c>
      <c r="C26" s="18" t="s">
        <v>691</v>
      </c>
      <c r="D26" s="18" t="s">
        <v>691</v>
      </c>
      <c r="E26" s="28" t="n">
        <v>6.98370925</v>
      </c>
      <c r="F26" s="185" t="n">
        <f aca="false">E26/$B$2*$F$3/1000</f>
        <v>0.0171100876625</v>
      </c>
      <c r="G26" s="18" t="n">
        <f aca="false">LOOKUP(RIGHT(D26,5),Ref!$C$4:$C$21,Ref!$E$4:$E$21)*$G$3</f>
        <v>2</v>
      </c>
      <c r="H26" s="218" t="n">
        <f aca="false">$E26</f>
        <v>6.98370925</v>
      </c>
      <c r="I26" s="177" t="n">
        <f aca="false">$E26</f>
        <v>6.98370925</v>
      </c>
      <c r="J26" s="177" t="n">
        <f aca="false">$E26</f>
        <v>6.98370925</v>
      </c>
      <c r="K26" s="177" t="n">
        <f aca="false">$E26</f>
        <v>6.98370925</v>
      </c>
      <c r="L26" s="177" t="n">
        <f aca="false">$E26</f>
        <v>6.98370925</v>
      </c>
      <c r="M26" s="177" t="n">
        <f aca="false">M$3*$E26</f>
        <v>7.3149177591995</v>
      </c>
      <c r="N26" s="177" t="n">
        <f aca="false">N$3*$E26</f>
        <v>7.51348072350252</v>
      </c>
      <c r="O26" s="177" t="n">
        <f aca="false">O$3*$E26</f>
        <v>7.81618779915289</v>
      </c>
      <c r="P26" s="177" t="n">
        <f aca="false">P$3*$E26</f>
        <v>8.25771606804255</v>
      </c>
      <c r="Q26" s="177" t="n">
        <f aca="false">Q$3*$E26</f>
        <v>8.86191794212978</v>
      </c>
      <c r="R26" s="177" t="n">
        <f aca="false">R$3*$E26</f>
        <v>9.6203435109368</v>
      </c>
      <c r="S26" s="177" t="n">
        <f aca="false">S$3*$E26</f>
        <v>10.475563875</v>
      </c>
      <c r="T26" s="177" t="n">
        <f aca="false">T$3*$E26</f>
        <v>11.3307842390632</v>
      </c>
      <c r="U26" s="177" t="n">
        <f aca="false">U$3*$E26</f>
        <v>12.0892098078702</v>
      </c>
      <c r="V26" s="177" t="n">
        <f aca="false">V$3*$E26</f>
        <v>12.6934116819575</v>
      </c>
      <c r="W26" s="177" t="n">
        <f aca="false">W$3*$E26</f>
        <v>13.1349399508471</v>
      </c>
      <c r="X26" s="177" t="n">
        <f aca="false">X$3*$E26</f>
        <v>13.4376470264975</v>
      </c>
      <c r="Y26" s="177" t="n">
        <f aca="false">Y$3*$E26</f>
        <v>13.6362099908005</v>
      </c>
      <c r="Z26" s="177" t="n">
        <f aca="false">Z$3*$E26</f>
        <v>13.7627104029636</v>
      </c>
      <c r="AA26" s="177" t="n">
        <f aca="false">AA$3*$E26</f>
        <v>13.8418080391153</v>
      </c>
      <c r="AB26" s="177" t="n">
        <f aca="false">AB$3*$E26</f>
        <v>13.8906888871215</v>
      </c>
      <c r="AC26" s="177" t="n">
        <f aca="false">AC$3*$E26</f>
        <v>13.9206775750912</v>
      </c>
      <c r="AD26" s="219" t="n">
        <f aca="false">Algae_electricity_factor/H26</f>
        <v>0.00196795092858845</v>
      </c>
      <c r="AE26" s="220" t="n">
        <f aca="false">Algae_electricity_factor/I26</f>
        <v>0.00196795092858845</v>
      </c>
      <c r="AF26" s="220" t="n">
        <f aca="false">Algae_electricity_factor/J26</f>
        <v>0.00196795092858845</v>
      </c>
      <c r="AG26" s="220" t="n">
        <f aca="false">Algae_electricity_factor/K26</f>
        <v>0.00196795092858845</v>
      </c>
      <c r="AH26" s="220" t="n">
        <f aca="false">Algae_electricity_factor/L26</f>
        <v>0.00196795092858845</v>
      </c>
      <c r="AI26" s="220" t="n">
        <f aca="false">Algae_electricity_factor/M26</f>
        <v>0.00187884506100493</v>
      </c>
      <c r="AJ26" s="220" t="n">
        <f aca="false">Algae_electricity_factor/N26</f>
        <v>0.00182919177000596</v>
      </c>
      <c r="AK26" s="220" t="n">
        <f aca="false">Algae_electricity_factor/O26</f>
        <v>0.00175835042052326</v>
      </c>
      <c r="AL26" s="220" t="n">
        <f aca="false">Algae_electricity_factor/P26</f>
        <v>0.0016643339381354</v>
      </c>
      <c r="AM26" s="220" t="n">
        <f aca="false">Algae_electricity_factor/Q26</f>
        <v>0.00155086034346943</v>
      </c>
      <c r="AN26" s="220" t="n">
        <f aca="false">Algae_electricity_factor/R26</f>
        <v>0.00142859733521001</v>
      </c>
      <c r="AO26" s="220" t="n">
        <f aca="false">Algae_electricity_factor/S26</f>
        <v>0.00131196728572563</v>
      </c>
      <c r="AP26" s="220" t="n">
        <f aca="false">Algae_electricity_factor/T26</f>
        <v>0.00121294314793744</v>
      </c>
      <c r="AQ26" s="220" t="n">
        <f aca="false">Algae_electricity_factor/U26</f>
        <v>0.00113684825740902</v>
      </c>
      <c r="AR26" s="220" t="n">
        <f aca="false">Algae_electricity_factor/V26</f>
        <v>0.00108273468535371</v>
      </c>
      <c r="AS26" s="220" t="n">
        <f aca="false">Algae_electricity_factor/W26</f>
        <v>0.00104633878456695</v>
      </c>
      <c r="AT26" s="220" t="n">
        <f aca="false">Algae_electricity_factor/X26</f>
        <v>0.00102276812870799</v>
      </c>
      <c r="AU26" s="220" t="n">
        <f aca="false">Algae_electricity_factor/Y26</f>
        <v>0.00100787514366537</v>
      </c>
      <c r="AV26" s="220" t="n">
        <f aca="false">Algae_electricity_factor/Z26</f>
        <v>0.000998611225632544</v>
      </c>
      <c r="AW26" s="220" t="n">
        <f aca="false">Algae_electricity_factor/AA26</f>
        <v>0.000992904761046497</v>
      </c>
      <c r="AX26" s="220" t="n">
        <f aca="false">Algae_electricity_factor/AB26</f>
        <v>0.000989410763945003</v>
      </c>
      <c r="AY26" s="220" t="n">
        <f aca="false">Algae_electricity_factor/AC26</f>
        <v>0.000987279320952106</v>
      </c>
      <c r="AZ26" s="221" t="n">
        <f aca="false">Algae_yield_cost_factor/H26</f>
        <v>0.108945345811213</v>
      </c>
      <c r="BA26" s="197" t="n">
        <f aca="false">Algae_yield_cost_factor/I26</f>
        <v>0.108945345811213</v>
      </c>
      <c r="BB26" s="197" t="n">
        <f aca="false">Algae_yield_cost_factor/J26</f>
        <v>0.108945345811213</v>
      </c>
      <c r="BC26" s="197" t="n">
        <f aca="false">Algae_yield_cost_factor/K26</f>
        <v>0.108945345811213</v>
      </c>
      <c r="BD26" s="197" t="n">
        <f aca="false">Algae_yield_cost_factor/L26</f>
        <v>0.108945345811213</v>
      </c>
      <c r="BE26" s="197" t="n">
        <f aca="false">Algae_yield_cost_factor/M26</f>
        <v>0.104012463889885</v>
      </c>
      <c r="BF26" s="197" t="n">
        <f aca="false">Algae_yield_cost_factor/N26</f>
        <v>0.101263668236516</v>
      </c>
      <c r="BG26" s="197" t="n">
        <f aca="false">Algae_yield_cost_factor/O26</f>
        <v>0.0973419061615532</v>
      </c>
      <c r="BH26" s="197" t="n">
        <f aca="false">Algae_yield_cost_factor/P26</f>
        <v>0.0921371736466802</v>
      </c>
      <c r="BI26" s="197" t="n">
        <f aca="false">Algae_yield_cost_factor/Q26</f>
        <v>0.0858552995248526</v>
      </c>
      <c r="BJ26" s="197" t="n">
        <f aca="false">Algae_yield_cost_factor/R26</f>
        <v>0.0790868453315894</v>
      </c>
      <c r="BK26" s="197" t="n">
        <f aca="false">Algae_yield_cost_factor/S26</f>
        <v>0.0726302305408087</v>
      </c>
      <c r="BL26" s="197" t="n">
        <f aca="false">Algae_yield_cost_factor/T26</f>
        <v>0.067148275285588</v>
      </c>
      <c r="BM26" s="197" t="n">
        <f aca="false">Algae_yield_cost_factor/U26</f>
        <v>0.0629356782931255</v>
      </c>
      <c r="BN26" s="197" t="n">
        <f aca="false">Algae_yield_cost_factor/V26</f>
        <v>0.0599399624269405</v>
      </c>
      <c r="BO26" s="197" t="n">
        <f aca="false">Algae_yield_cost_factor/W26</f>
        <v>0.0579250930825267</v>
      </c>
      <c r="BP26" s="197" t="n">
        <f aca="false">Algae_yield_cost_factor/X26</f>
        <v>0.0566202265758227</v>
      </c>
      <c r="BQ26" s="197" t="n">
        <f aca="false">Algae_yield_cost_factor/Y26</f>
        <v>0.0557957540841268</v>
      </c>
      <c r="BR26" s="197" t="n">
        <f aca="false">Algae_yield_cost_factor/Z26</f>
        <v>0.0552829055476151</v>
      </c>
      <c r="BS26" s="197" t="n">
        <f aca="false">Algae_yield_cost_factor/AA26</f>
        <v>0.0549669968790325</v>
      </c>
      <c r="BT26" s="197" t="n">
        <f aca="false">Algae_yield_cost_factor/AB26</f>
        <v>0.0547735699409134</v>
      </c>
      <c r="BU26" s="197" t="n">
        <f aca="false">Algae_yield_cost_factor/AC26</f>
        <v>0.0546555737091147</v>
      </c>
    </row>
    <row r="27" customFormat="false" ht="15" hidden="false" customHeight="false" outlineLevel="0" collapsed="false">
      <c r="A27" s="18" t="s">
        <v>695</v>
      </c>
      <c r="B27" s="18" t="s">
        <v>22</v>
      </c>
      <c r="C27" s="18" t="s">
        <v>693</v>
      </c>
      <c r="D27" s="18" t="s">
        <v>693</v>
      </c>
      <c r="E27" s="28" t="n">
        <v>6.88536</v>
      </c>
      <c r="F27" s="185" t="n">
        <f aca="false">E27/$B$2*$F$3/1000</f>
        <v>0.016869132</v>
      </c>
      <c r="G27" s="18" t="n">
        <f aca="false">LOOKUP(RIGHT(D27,5),Ref!$C$4:$C$21,Ref!$E$4:$E$21)*$G$3</f>
        <v>3</v>
      </c>
      <c r="H27" s="218" t="n">
        <f aca="false">$E27</f>
        <v>6.88536</v>
      </c>
      <c r="I27" s="177" t="n">
        <f aca="false">$E27</f>
        <v>6.88536</v>
      </c>
      <c r="J27" s="177" t="n">
        <f aca="false">$E27</f>
        <v>6.88536</v>
      </c>
      <c r="K27" s="177" t="n">
        <f aca="false">$E27</f>
        <v>6.88536</v>
      </c>
      <c r="L27" s="177" t="n">
        <f aca="false">$E27</f>
        <v>6.88536</v>
      </c>
      <c r="M27" s="177" t="n">
        <f aca="false">M$3*$E27</f>
        <v>7.21190421014189</v>
      </c>
      <c r="N27" s="177" t="n">
        <f aca="false">N$3*$E27</f>
        <v>7.40767087839107</v>
      </c>
      <c r="O27" s="177" t="n">
        <f aca="false">O$3*$E27</f>
        <v>7.70611503117421</v>
      </c>
      <c r="P27" s="177" t="n">
        <f aca="false">P$3*$E27</f>
        <v>8.14142540459534</v>
      </c>
      <c r="Q27" s="177" t="n">
        <f aca="false">Q$3*$E27</f>
        <v>8.73711850504411</v>
      </c>
      <c r="R27" s="177" t="n">
        <f aca="false">R$3*$E27</f>
        <v>9.484863419316</v>
      </c>
      <c r="S27" s="177" t="n">
        <f aca="false">S$3*$E27</f>
        <v>10.32804</v>
      </c>
      <c r="T27" s="177" t="n">
        <f aca="false">T$3*$E27</f>
        <v>11.171216580684</v>
      </c>
      <c r="U27" s="177" t="n">
        <f aca="false">U$3*$E27</f>
        <v>11.9189614949559</v>
      </c>
      <c r="V27" s="177" t="n">
        <f aca="false">V$3*$E27</f>
        <v>12.5146545954047</v>
      </c>
      <c r="W27" s="177" t="n">
        <f aca="false">W$3*$E27</f>
        <v>12.9499649688258</v>
      </c>
      <c r="X27" s="177" t="n">
        <f aca="false">X$3*$E27</f>
        <v>13.2484091216089</v>
      </c>
      <c r="Y27" s="177" t="n">
        <f aca="false">Y$3*$E27</f>
        <v>13.4441757898581</v>
      </c>
      <c r="Z27" s="177" t="n">
        <f aca="false">Z$3*$E27</f>
        <v>13.5688947388738</v>
      </c>
      <c r="AA27" s="177" t="n">
        <f aca="false">AA$3*$E27</f>
        <v>13.6468784693754</v>
      </c>
      <c r="AB27" s="177" t="n">
        <f aca="false">AB$3*$E27</f>
        <v>13.695070944689</v>
      </c>
      <c r="AC27" s="177" t="n">
        <f aca="false">AC$3*$E27</f>
        <v>13.72463731196</v>
      </c>
      <c r="AD27" s="219" t="n">
        <f aca="false">Algae_electricity_factor/H27</f>
        <v>0.00199606078745763</v>
      </c>
      <c r="AE27" s="220" t="n">
        <f aca="false">Algae_electricity_factor/I27</f>
        <v>0.00199606078745763</v>
      </c>
      <c r="AF27" s="220" t="n">
        <f aca="false">Algae_electricity_factor/J27</f>
        <v>0.00199606078745763</v>
      </c>
      <c r="AG27" s="220" t="n">
        <f aca="false">Algae_electricity_factor/K27</f>
        <v>0.00199606078745763</v>
      </c>
      <c r="AH27" s="220" t="n">
        <f aca="false">Algae_electricity_factor/L27</f>
        <v>0.00199606078745763</v>
      </c>
      <c r="AI27" s="220" t="n">
        <f aca="false">Algae_electricity_factor/M27</f>
        <v>0.0019056821476084</v>
      </c>
      <c r="AJ27" s="220" t="n">
        <f aca="false">Algae_electricity_factor/N27</f>
        <v>0.00185531961788701</v>
      </c>
      <c r="AK27" s="220" t="n">
        <f aca="false">Algae_electricity_factor/O27</f>
        <v>0.00178346638324644</v>
      </c>
      <c r="AL27" s="220" t="n">
        <f aca="false">Algae_electricity_factor/P27</f>
        <v>0.00168810698624983</v>
      </c>
      <c r="AM27" s="220" t="n">
        <f aca="false">Algae_electricity_factor/Q27</f>
        <v>0.00157301255506547</v>
      </c>
      <c r="AN27" s="220" t="n">
        <f aca="false">Algae_electricity_factor/R27</f>
        <v>0.00144900316387691</v>
      </c>
      <c r="AO27" s="220" t="n">
        <f aca="false">Algae_electricity_factor/S27</f>
        <v>0.00133070719163842</v>
      </c>
      <c r="AP27" s="220" t="n">
        <f aca="false">Algae_electricity_factor/T27</f>
        <v>0.00123026861078794</v>
      </c>
      <c r="AQ27" s="220" t="n">
        <f aca="false">Algae_electricity_factor/U27</f>
        <v>0.00115308679446154</v>
      </c>
      <c r="AR27" s="220" t="n">
        <f aca="false">Algae_electricity_factor/V27</f>
        <v>0.00109820027382744</v>
      </c>
      <c r="AS27" s="220" t="n">
        <f aca="false">Algae_electricity_factor/W27</f>
        <v>0.00106128450050745</v>
      </c>
      <c r="AT27" s="220" t="n">
        <f aca="false">Algae_electricity_factor/X27</f>
        <v>0.00103737716561852</v>
      </c>
      <c r="AU27" s="220" t="n">
        <f aca="false">Algae_electricity_factor/Y27</f>
        <v>0.00102227145184289</v>
      </c>
      <c r="AV27" s="220" t="n">
        <f aca="false">Algae_electricity_factor/Z27</f>
        <v>0.0010128752096628</v>
      </c>
      <c r="AW27" s="220" t="n">
        <f aca="false">Algae_electricity_factor/AA27</f>
        <v>0.00100708723495786</v>
      </c>
      <c r="AX27" s="220" t="n">
        <f aca="false">Algae_electricity_factor/AB27</f>
        <v>0.00100354333022707</v>
      </c>
      <c r="AY27" s="220" t="n">
        <f aca="false">Algae_electricity_factor/AC27</f>
        <v>0.00100138144208392</v>
      </c>
      <c r="AZ27" s="221" t="n">
        <f aca="false">Algae_yield_cost_factor/H27</f>
        <v>0.110501501633352</v>
      </c>
      <c r="BA27" s="197" t="n">
        <f aca="false">Algae_yield_cost_factor/I27</f>
        <v>0.110501501633352</v>
      </c>
      <c r="BB27" s="197" t="n">
        <f aca="false">Algae_yield_cost_factor/J27</f>
        <v>0.110501501633352</v>
      </c>
      <c r="BC27" s="197" t="n">
        <f aca="false">Algae_yield_cost_factor/K27</f>
        <v>0.110501501633352</v>
      </c>
      <c r="BD27" s="197" t="n">
        <f aca="false">Algae_yield_cost_factor/L27</f>
        <v>0.110501501633352</v>
      </c>
      <c r="BE27" s="197" t="n">
        <f aca="false">Algae_yield_cost_factor/M27</f>
        <v>0.105498159309474</v>
      </c>
      <c r="BF27" s="197" t="n">
        <f aca="false">Algae_yield_cost_factor/N27</f>
        <v>0.102710100350931</v>
      </c>
      <c r="BG27" s="197" t="n">
        <f aca="false">Algae_yield_cost_factor/O27</f>
        <v>0.0987323205283487</v>
      </c>
      <c r="BH27" s="197" t="n">
        <f aca="false">Algae_yield_cost_factor/P27</f>
        <v>0.0934532445456994</v>
      </c>
      <c r="BI27" s="197" t="n">
        <f aca="false">Algae_yield_cost_factor/Q27</f>
        <v>0.0870816412581526</v>
      </c>
      <c r="BJ27" s="197" t="n">
        <f aca="false">Algae_yield_cost_factor/R27</f>
        <v>0.0802165076765107</v>
      </c>
      <c r="BK27" s="197" t="n">
        <f aca="false">Algae_yield_cost_factor/S27</f>
        <v>0.0736676677555681</v>
      </c>
      <c r="BL27" s="197" t="n">
        <f aca="false">Algae_yield_cost_factor/T27</f>
        <v>0.0681074092325611</v>
      </c>
      <c r="BM27" s="197" t="n">
        <f aca="false">Algae_yield_cost_factor/U27</f>
        <v>0.0638346402585667</v>
      </c>
      <c r="BN27" s="197" t="n">
        <f aca="false">Algae_yield_cost_factor/V27</f>
        <v>0.0607961341230781</v>
      </c>
      <c r="BO27" s="197" t="n">
        <f aca="false">Algae_yield_cost_factor/W27</f>
        <v>0.0587524847455402</v>
      </c>
      <c r="BP27" s="197" t="n">
        <f aca="false">Algae_yield_cost_factor/X27</f>
        <v>0.0574289797591802</v>
      </c>
      <c r="BQ27" s="197" t="n">
        <f aca="false">Algae_yield_cost_factor/Y27</f>
        <v>0.0565927306499648</v>
      </c>
      <c r="BR27" s="197" t="n">
        <f aca="false">Algae_yield_cost_factor/Z27</f>
        <v>0.0560725566767396</v>
      </c>
      <c r="BS27" s="197" t="n">
        <f aca="false">Algae_yield_cost_factor/AA27</f>
        <v>0.0557521356252717</v>
      </c>
      <c r="BT27" s="197" t="n">
        <f aca="false">Algae_yield_cost_factor/AB27</f>
        <v>0.0555559458113851</v>
      </c>
      <c r="BU27" s="197" t="n">
        <f aca="false">Algae_yield_cost_factor/AC27</f>
        <v>0.0554362641425287</v>
      </c>
    </row>
    <row r="28" customFormat="false" ht="15" hidden="false" customHeight="false" outlineLevel="0" collapsed="false">
      <c r="A28" s="18" t="s">
        <v>695</v>
      </c>
      <c r="B28" s="18" t="s">
        <v>22</v>
      </c>
      <c r="C28" s="18" t="s">
        <v>683</v>
      </c>
      <c r="D28" s="18" t="s">
        <v>683</v>
      </c>
      <c r="E28" s="28" t="n">
        <v>7.074795</v>
      </c>
      <c r="F28" s="185" t="n">
        <f aca="false">E28/$B$2*$F$3/1000</f>
        <v>0.01733324775</v>
      </c>
      <c r="G28" s="18" t="n">
        <f aca="false">LOOKUP(RIGHT(D28,5),Ref!$C$4:$C$21,Ref!$E$4:$E$21)*$G$3</f>
        <v>3</v>
      </c>
      <c r="H28" s="218" t="n">
        <f aca="false">$E28</f>
        <v>7.074795</v>
      </c>
      <c r="I28" s="177" t="n">
        <f aca="false">$E28</f>
        <v>7.074795</v>
      </c>
      <c r="J28" s="177" t="n">
        <f aca="false">$E28</f>
        <v>7.074795</v>
      </c>
      <c r="K28" s="177" t="n">
        <f aca="false">$E28</f>
        <v>7.074795</v>
      </c>
      <c r="L28" s="177" t="n">
        <f aca="false">$E28</f>
        <v>7.074795</v>
      </c>
      <c r="M28" s="177" t="n">
        <f aca="false">M$3*$E28</f>
        <v>7.41032333042728</v>
      </c>
      <c r="N28" s="177" t="n">
        <f aca="false">N$3*$E28</f>
        <v>7.61147607272339</v>
      </c>
      <c r="O28" s="177" t="n">
        <f aca="false">O$3*$E28</f>
        <v>7.91813123670747</v>
      </c>
      <c r="P28" s="177" t="n">
        <f aca="false">P$3*$E28</f>
        <v>8.36541818369759</v>
      </c>
      <c r="Q28" s="177" t="n">
        <f aca="false">Q$3*$E28</f>
        <v>8.97750042320133</v>
      </c>
      <c r="R28" s="177" t="n">
        <f aca="false">R$3*$E28</f>
        <v>9.74581783590978</v>
      </c>
      <c r="S28" s="177" t="n">
        <f aca="false">S$3*$E28</f>
        <v>10.6121925</v>
      </c>
      <c r="T28" s="177" t="n">
        <f aca="false">T$3*$E28</f>
        <v>11.4785671640902</v>
      </c>
      <c r="U28" s="177" t="n">
        <f aca="false">U$3*$E28</f>
        <v>12.2468845767987</v>
      </c>
      <c r="V28" s="177" t="n">
        <f aca="false">V$3*$E28</f>
        <v>12.8589668163024</v>
      </c>
      <c r="W28" s="177" t="n">
        <f aca="false">W$3*$E28</f>
        <v>13.3062537632925</v>
      </c>
      <c r="X28" s="177" t="n">
        <f aca="false">X$3*$E28</f>
        <v>13.6129089272766</v>
      </c>
      <c r="Y28" s="177" t="n">
        <f aca="false">Y$3*$E28</f>
        <v>13.8140616695727</v>
      </c>
      <c r="Z28" s="177" t="n">
        <f aca="false">Z$3*$E28</f>
        <v>13.9422119764415</v>
      </c>
      <c r="AA28" s="177" t="n">
        <f aca="false">AA$3*$E28</f>
        <v>14.0223412516912</v>
      </c>
      <c r="AB28" s="177" t="n">
        <f aca="false">AB$3*$E28</f>
        <v>14.0718596332118</v>
      </c>
      <c r="AC28" s="177" t="n">
        <f aca="false">AC$3*$E28</f>
        <v>14.1022394517451</v>
      </c>
      <c r="AD28" s="219" t="n">
        <f aca="false">Algae_electricity_factor/H28</f>
        <v>0.00194261418225253</v>
      </c>
      <c r="AE28" s="220" t="n">
        <f aca="false">Algae_electricity_factor/I28</f>
        <v>0.00194261418225253</v>
      </c>
      <c r="AF28" s="220" t="n">
        <f aca="false">Algae_electricity_factor/J28</f>
        <v>0.00194261418225253</v>
      </c>
      <c r="AG28" s="220" t="n">
        <f aca="false">Algae_electricity_factor/K28</f>
        <v>0.00194261418225253</v>
      </c>
      <c r="AH28" s="220" t="n">
        <f aca="false">Algae_electricity_factor/L28</f>
        <v>0.00194261418225253</v>
      </c>
      <c r="AI28" s="220" t="n">
        <f aca="false">Algae_electricity_factor/M28</f>
        <v>0.00185465552455682</v>
      </c>
      <c r="AJ28" s="220" t="n">
        <f aca="false">Algae_electricity_factor/N28</f>
        <v>0.00180564150398909</v>
      </c>
      <c r="AK28" s="220" t="n">
        <f aca="false">Algae_electricity_factor/O28</f>
        <v>0.00173571221449522</v>
      </c>
      <c r="AL28" s="220" t="n">
        <f aca="false">Algae_electricity_factor/P28</f>
        <v>0.00164290616460903</v>
      </c>
      <c r="AM28" s="220" t="n">
        <f aca="false">Algae_electricity_factor/Q28</f>
        <v>0.00153089350661689</v>
      </c>
      <c r="AN28" s="220" t="n">
        <f aca="false">Algae_electricity_factor/R28</f>
        <v>0.00141020459595388</v>
      </c>
      <c r="AO28" s="220" t="n">
        <f aca="false">Algae_electricity_factor/S28</f>
        <v>0.00129507612150168</v>
      </c>
      <c r="AP28" s="220" t="n">
        <f aca="false">Algae_electricity_factor/T28</f>
        <v>0.00119732688819603</v>
      </c>
      <c r="AQ28" s="220" t="n">
        <f aca="false">Algae_electricity_factor/U28</f>
        <v>0.00112221169533728</v>
      </c>
      <c r="AR28" s="220" t="n">
        <f aca="false">Algae_electricity_factor/V28</f>
        <v>0.00106879481842237</v>
      </c>
      <c r="AS28" s="220" t="n">
        <f aca="false">Algae_electricity_factor/W28</f>
        <v>0.0010328675033572</v>
      </c>
      <c r="AT28" s="220" t="n">
        <f aca="false">Algae_electricity_factor/X28</f>
        <v>0.00100960031224412</v>
      </c>
      <c r="AU28" s="220" t="n">
        <f aca="false">Algae_electricity_factor/Y28</f>
        <v>0.000994899069677772</v>
      </c>
      <c r="AV28" s="220" t="n">
        <f aca="false">Algae_electricity_factor/Z28</f>
        <v>0.00098575442166223</v>
      </c>
      <c r="AW28" s="220" t="n">
        <f aca="false">Algae_electricity_factor/AA28</f>
        <v>0.000980121426004494</v>
      </c>
      <c r="AX28" s="220" t="n">
        <f aca="false">Algae_electricity_factor/AB28</f>
        <v>0.000976672413011583</v>
      </c>
      <c r="AY28" s="220" t="n">
        <f aca="false">Algae_electricity_factor/AC28</f>
        <v>0.000974568411673687</v>
      </c>
      <c r="AZ28" s="221" t="n">
        <f aca="false">Algae_yield_cost_factor/H28</f>
        <v>0.107542708910466</v>
      </c>
      <c r="BA28" s="197" t="n">
        <f aca="false">Algae_yield_cost_factor/I28</f>
        <v>0.107542708910466</v>
      </c>
      <c r="BB28" s="197" t="n">
        <f aca="false">Algae_yield_cost_factor/J28</f>
        <v>0.107542708910466</v>
      </c>
      <c r="BC28" s="197" t="n">
        <f aca="false">Algae_yield_cost_factor/K28</f>
        <v>0.107542708910466</v>
      </c>
      <c r="BD28" s="197" t="n">
        <f aca="false">Algae_yield_cost_factor/L28</f>
        <v>0.107542708910466</v>
      </c>
      <c r="BE28" s="197" t="n">
        <f aca="false">Algae_yield_cost_factor/M28</f>
        <v>0.102673336285091</v>
      </c>
      <c r="BF28" s="197" t="n">
        <f aca="false">Algae_yield_cost_factor/N28</f>
        <v>0.0999599305071438</v>
      </c>
      <c r="BG28" s="197" t="n">
        <f aca="false">Algae_yield_cost_factor/O28</f>
        <v>0.0960886598796249</v>
      </c>
      <c r="BH28" s="197" t="n">
        <f aca="false">Algae_yield_cost_factor/P28</f>
        <v>0.090950936651193</v>
      </c>
      <c r="BI28" s="197" t="n">
        <f aca="false">Algae_yield_cost_factor/Q28</f>
        <v>0.0847499396736207</v>
      </c>
      <c r="BJ28" s="197" t="n">
        <f aca="false">Algae_yield_cost_factor/R28</f>
        <v>0.078068627189274</v>
      </c>
      <c r="BK28" s="197" t="n">
        <f aca="false">Algae_yield_cost_factor/S28</f>
        <v>0.0716951392736438</v>
      </c>
      <c r="BL28" s="197" t="n">
        <f aca="false">Algae_yield_cost_factor/T28</f>
        <v>0.066283762460044</v>
      </c>
      <c r="BM28" s="197" t="n">
        <f aca="false">Algae_yield_cost_factor/U28</f>
        <v>0.062125401322685</v>
      </c>
      <c r="BN28" s="197" t="n">
        <f aca="false">Algae_yield_cost_factor/V28</f>
        <v>0.0591682543516352</v>
      </c>
      <c r="BO28" s="197" t="n">
        <f aca="false">Algae_yield_cost_factor/W28</f>
        <v>0.0571793258133349</v>
      </c>
      <c r="BP28" s="197" t="n">
        <f aca="false">Algae_yield_cost_factor/X28</f>
        <v>0.0558912590505688</v>
      </c>
      <c r="BQ28" s="197" t="n">
        <f aca="false">Algae_yield_cost_factor/Y28</f>
        <v>0.0550774013816714</v>
      </c>
      <c r="BR28" s="197" t="n">
        <f aca="false">Algae_yield_cost_factor/Z28</f>
        <v>0.0545711556080079</v>
      </c>
      <c r="BS28" s="197" t="n">
        <f aca="false">Algae_yield_cost_factor/AA28</f>
        <v>0.0542593141637066</v>
      </c>
      <c r="BT28" s="197" t="n">
        <f aca="false">Algae_yield_cost_factor/AB28</f>
        <v>0.0540683775362931</v>
      </c>
      <c r="BU28" s="197" t="n">
        <f aca="false">Algae_yield_cost_factor/AC28</f>
        <v>0.0539519004686922</v>
      </c>
    </row>
    <row r="29" customFormat="false" ht="15" hidden="false" customHeight="false" outlineLevel="0" collapsed="false">
      <c r="A29" s="18" t="s">
        <v>695</v>
      </c>
      <c r="B29" s="18" t="s">
        <v>22</v>
      </c>
      <c r="C29" s="18" t="s">
        <v>684</v>
      </c>
      <c r="D29" s="18" t="s">
        <v>684</v>
      </c>
      <c r="E29" s="28" t="n">
        <v>7.076255</v>
      </c>
      <c r="F29" s="185" t="n">
        <f aca="false">E29/$B$2*$F$3/1000</f>
        <v>0.01733682475</v>
      </c>
      <c r="G29" s="18" t="n">
        <f aca="false">LOOKUP(RIGHT(D29,5),Ref!$C$4:$C$21,Ref!$E$4:$E$21)*$G$3</f>
        <v>3.5</v>
      </c>
      <c r="H29" s="218" t="n">
        <f aca="false">$E29</f>
        <v>7.076255</v>
      </c>
      <c r="I29" s="177" t="n">
        <f aca="false">$E29</f>
        <v>7.076255</v>
      </c>
      <c r="J29" s="177" t="n">
        <f aca="false">$E29</f>
        <v>7.076255</v>
      </c>
      <c r="K29" s="177" t="n">
        <f aca="false">$E29</f>
        <v>7.076255</v>
      </c>
      <c r="L29" s="177" t="n">
        <f aca="false">$E29</f>
        <v>7.076255</v>
      </c>
      <c r="M29" s="177" t="n">
        <f aca="false">M$3*$E29</f>
        <v>7.41185257220212</v>
      </c>
      <c r="N29" s="177" t="n">
        <f aca="false">N$3*$E29</f>
        <v>7.61304682566622</v>
      </c>
      <c r="O29" s="177" t="n">
        <f aca="false">O$3*$E29</f>
        <v>7.91976527297362</v>
      </c>
      <c r="P29" s="177" t="n">
        <f aca="false">P$3*$E29</f>
        <v>8.36714452496235</v>
      </c>
      <c r="Q29" s="177" t="n">
        <f aca="false">Q$3*$E29</f>
        <v>8.97935307767654</v>
      </c>
      <c r="R29" s="177" t="n">
        <f aca="false">R$3*$E29</f>
        <v>9.74782904528622</v>
      </c>
      <c r="S29" s="177" t="n">
        <f aca="false">S$3*$E29</f>
        <v>10.6143825</v>
      </c>
      <c r="T29" s="177" t="n">
        <f aca="false">T$3*$E29</f>
        <v>11.4809359547138</v>
      </c>
      <c r="U29" s="177" t="n">
        <f aca="false">U$3*$E29</f>
        <v>12.2494119223235</v>
      </c>
      <c r="V29" s="177" t="n">
        <f aca="false">V$3*$E29</f>
        <v>12.8616204750377</v>
      </c>
      <c r="W29" s="177" t="n">
        <f aca="false">W$3*$E29</f>
        <v>13.3089997270264</v>
      </c>
      <c r="X29" s="177" t="n">
        <f aca="false">X$3*$E29</f>
        <v>13.6157181743338</v>
      </c>
      <c r="Y29" s="177" t="n">
        <f aca="false">Y$3*$E29</f>
        <v>13.8169124277979</v>
      </c>
      <c r="Z29" s="177" t="n">
        <f aca="false">Z$3*$E29</f>
        <v>13.9450891805846</v>
      </c>
      <c r="AA29" s="177" t="n">
        <f aca="false">AA$3*$E29</f>
        <v>14.0252349918247</v>
      </c>
      <c r="AB29" s="177" t="n">
        <f aca="false">AB$3*$E29</f>
        <v>14.0747635922756</v>
      </c>
      <c r="AC29" s="177" t="n">
        <f aca="false">AC$3*$E29</f>
        <v>14.1051496801828</v>
      </c>
      <c r="AD29" s="219" t="n">
        <f aca="false">Algae_electricity_factor/H29</f>
        <v>0.00194221337466347</v>
      </c>
      <c r="AE29" s="220" t="n">
        <f aca="false">Algae_electricity_factor/I29</f>
        <v>0.00194221337466347</v>
      </c>
      <c r="AF29" s="220" t="n">
        <f aca="false">Algae_electricity_factor/J29</f>
        <v>0.00194221337466347</v>
      </c>
      <c r="AG29" s="220" t="n">
        <f aca="false">Algae_electricity_factor/K29</f>
        <v>0.00194221337466347</v>
      </c>
      <c r="AH29" s="220" t="n">
        <f aca="false">Algae_electricity_factor/L29</f>
        <v>0.00194221337466347</v>
      </c>
      <c r="AI29" s="220" t="n">
        <f aca="false">Algae_electricity_factor/M29</f>
        <v>0.00185427286493448</v>
      </c>
      <c r="AJ29" s="220" t="n">
        <f aca="false">Algae_electricity_factor/N29</f>
        <v>0.00180526895712697</v>
      </c>
      <c r="AK29" s="220" t="n">
        <f aca="false">Algae_electricity_factor/O29</f>
        <v>0.0017353540957116</v>
      </c>
      <c r="AL29" s="220" t="n">
        <f aca="false">Algae_electricity_factor/P29</f>
        <v>0.00164256719392463</v>
      </c>
      <c r="AM29" s="220" t="n">
        <f aca="false">Algae_electricity_factor/Q29</f>
        <v>0.00153057764681256</v>
      </c>
      <c r="AN29" s="220" t="n">
        <f aca="false">Algae_electricity_factor/R29</f>
        <v>0.00140991363714727</v>
      </c>
      <c r="AO29" s="220" t="n">
        <f aca="false">Algae_electricity_factor/S29</f>
        <v>0.00129480891644231</v>
      </c>
      <c r="AP29" s="220" t="n">
        <f aca="false">Algae_electricity_factor/T29</f>
        <v>0.00119707985113239</v>
      </c>
      <c r="AQ29" s="220" t="n">
        <f aca="false">Algae_electricity_factor/U29</f>
        <v>0.00112198015632757</v>
      </c>
      <c r="AR29" s="220" t="n">
        <f aca="false">Algae_electricity_factor/V29</f>
        <v>0.00106857430058704</v>
      </c>
      <c r="AS29" s="220" t="n">
        <f aca="false">Algae_electricity_factor/W29</f>
        <v>0.00103265439818293</v>
      </c>
      <c r="AT29" s="220" t="n">
        <f aca="false">Algae_electricity_factor/X29</f>
        <v>0.00100939200764573</v>
      </c>
      <c r="AU29" s="220" t="n">
        <f aca="false">Algae_electricity_factor/Y29</f>
        <v>0.000994693798295984</v>
      </c>
      <c r="AV29" s="220" t="n">
        <f aca="false">Algae_electricity_factor/Z29</f>
        <v>0.000985551037039201</v>
      </c>
      <c r="AW29" s="220" t="n">
        <f aca="false">Algae_electricity_factor/AA29</f>
        <v>0.000979919203602677</v>
      </c>
      <c r="AX29" s="220" t="n">
        <f aca="false">Algae_electricity_factor/AB29</f>
        <v>0.000976470902223321</v>
      </c>
      <c r="AY29" s="220" t="n">
        <f aca="false">Algae_electricity_factor/AC29</f>
        <v>0.000974367334991029</v>
      </c>
      <c r="AZ29" s="221" t="n">
        <f aca="false">Algae_yield_cost_factor/H29</f>
        <v>0.107520520287386</v>
      </c>
      <c r="BA29" s="197" t="n">
        <f aca="false">Algae_yield_cost_factor/I29</f>
        <v>0.107520520287386</v>
      </c>
      <c r="BB29" s="197" t="n">
        <f aca="false">Algae_yield_cost_factor/J29</f>
        <v>0.107520520287386</v>
      </c>
      <c r="BC29" s="197" t="n">
        <f aca="false">Algae_yield_cost_factor/K29</f>
        <v>0.107520520287386</v>
      </c>
      <c r="BD29" s="197" t="n">
        <f aca="false">Algae_yield_cost_factor/L29</f>
        <v>0.107520520287386</v>
      </c>
      <c r="BE29" s="197" t="n">
        <f aca="false">Algae_yield_cost_factor/M29</f>
        <v>0.102652152329598</v>
      </c>
      <c r="BF29" s="197" t="n">
        <f aca="false">Algae_yield_cost_factor/N29</f>
        <v>0.0999393063919104</v>
      </c>
      <c r="BG29" s="197" t="n">
        <f aca="false">Algae_yield_cost_factor/O29</f>
        <v>0.096068834499756</v>
      </c>
      <c r="BH29" s="197" t="n">
        <f aca="false">Algae_yield_cost_factor/P29</f>
        <v>0.0909321713060337</v>
      </c>
      <c r="BI29" s="197" t="n">
        <f aca="false">Algae_yield_cost_factor/Q29</f>
        <v>0.0847324537418781</v>
      </c>
      <c r="BJ29" s="197" t="n">
        <f aca="false">Algae_yield_cost_factor/R29</f>
        <v>0.0780525197714808</v>
      </c>
      <c r="BK29" s="197" t="n">
        <f aca="false">Algae_yield_cost_factor/S29</f>
        <v>0.0716803468582574</v>
      </c>
      <c r="BL29" s="197" t="n">
        <f aca="false">Algae_yield_cost_factor/T29</f>
        <v>0.0662700865406217</v>
      </c>
      <c r="BM29" s="197" t="n">
        <f aca="false">Algae_yield_cost_factor/U29</f>
        <v>0.0621125833722393</v>
      </c>
      <c r="BN29" s="197" t="n">
        <f aca="false">Algae_yield_cost_factor/V29</f>
        <v>0.0591560465310644</v>
      </c>
      <c r="BO29" s="197" t="n">
        <f aca="false">Algae_yield_cost_factor/W29</f>
        <v>0.0571675283561083</v>
      </c>
      <c r="BP29" s="197" t="n">
        <f aca="false">Algae_yield_cost_factor/X29</f>
        <v>0.0558797273522038</v>
      </c>
      <c r="BQ29" s="197" t="n">
        <f aca="false">Algae_yield_cost_factor/Y29</f>
        <v>0.0550660376015338</v>
      </c>
      <c r="BR29" s="197" t="n">
        <f aca="false">Algae_yield_cost_factor/Z29</f>
        <v>0.0545598962784349</v>
      </c>
      <c r="BS29" s="197" t="n">
        <f aca="false">Algae_yield_cost_factor/AA29</f>
        <v>0.0542481191744532</v>
      </c>
      <c r="BT29" s="197" t="n">
        <f aca="false">Algae_yield_cost_factor/AB29</f>
        <v>0.0540572219418151</v>
      </c>
      <c r="BU29" s="197" t="n">
        <f aca="false">Algae_yield_cost_factor/AC29</f>
        <v>0.0539407689062084</v>
      </c>
    </row>
    <row r="30" customFormat="false" ht="15" hidden="false" customHeight="false" outlineLevel="0" collapsed="false">
      <c r="A30" s="18" t="s">
        <v>695</v>
      </c>
      <c r="B30" s="18" t="s">
        <v>22</v>
      </c>
      <c r="C30" s="18" t="s">
        <v>685</v>
      </c>
      <c r="D30" s="18" t="s">
        <v>685</v>
      </c>
      <c r="E30" s="28" t="n">
        <v>6.775495</v>
      </c>
      <c r="F30" s="185" t="n">
        <f aca="false">E30/$B$2*$F$3/1000</f>
        <v>0.01659996275</v>
      </c>
      <c r="G30" s="18" t="n">
        <f aca="false">LOOKUP(RIGHT(D30,5),Ref!$C$4:$C$21,Ref!$E$4:$E$21)*$G$3</f>
        <v>4</v>
      </c>
      <c r="H30" s="218" t="n">
        <f aca="false">$E30</f>
        <v>6.775495</v>
      </c>
      <c r="I30" s="177" t="n">
        <f aca="false">$E30</f>
        <v>6.775495</v>
      </c>
      <c r="J30" s="177" t="n">
        <f aca="false">$E30</f>
        <v>6.775495</v>
      </c>
      <c r="K30" s="177" t="n">
        <f aca="false">$E30</f>
        <v>6.775495</v>
      </c>
      <c r="L30" s="177" t="n">
        <f aca="false">$E30</f>
        <v>6.775495</v>
      </c>
      <c r="M30" s="177" t="n">
        <f aca="false">M$3*$E30</f>
        <v>7.09682876658524</v>
      </c>
      <c r="N30" s="177" t="n">
        <f aca="false">N$3*$E30</f>
        <v>7.28947171944304</v>
      </c>
      <c r="O30" s="177" t="n">
        <f aca="false">O$3*$E30</f>
        <v>7.58315380214625</v>
      </c>
      <c r="P30" s="177" t="n">
        <f aca="false">P$3*$E30</f>
        <v>8.01151822442235</v>
      </c>
      <c r="Q30" s="177" t="n">
        <f aca="false">Q$3*$E30</f>
        <v>8.5977062557853</v>
      </c>
      <c r="R30" s="177" t="n">
        <f aca="false">R$3*$E30</f>
        <v>9.33351991373849</v>
      </c>
      <c r="S30" s="177" t="n">
        <f aca="false">S$3*$E30</f>
        <v>10.1632425</v>
      </c>
      <c r="T30" s="177" t="n">
        <f aca="false">T$3*$E30</f>
        <v>10.9929650862615</v>
      </c>
      <c r="U30" s="177" t="n">
        <f aca="false">U$3*$E30</f>
        <v>11.7287787442147</v>
      </c>
      <c r="V30" s="177" t="n">
        <f aca="false">V$3*$E30</f>
        <v>12.3149667755777</v>
      </c>
      <c r="W30" s="177" t="n">
        <f aca="false">W$3*$E30</f>
        <v>12.7433311978538</v>
      </c>
      <c r="X30" s="177" t="n">
        <f aca="false">X$3*$E30</f>
        <v>13.037013280557</v>
      </c>
      <c r="Y30" s="177" t="n">
        <f aca="false">Y$3*$E30</f>
        <v>13.2296562334148</v>
      </c>
      <c r="Z30" s="177" t="n">
        <f aca="false">Z$3*$E30</f>
        <v>13.3523851271053</v>
      </c>
      <c r="AA30" s="177" t="n">
        <f aca="false">AA$3*$E30</f>
        <v>13.4291245243329</v>
      </c>
      <c r="AB30" s="177" t="n">
        <f aca="false">AB$3*$E30</f>
        <v>13.4765480251411</v>
      </c>
      <c r="AC30" s="177" t="n">
        <f aca="false">AC$3*$E30</f>
        <v>13.5056426220268</v>
      </c>
      <c r="AD30" s="219" t="n">
        <f aca="false">Algae_electricity_factor/H30</f>
        <v>0.00202842701581645</v>
      </c>
      <c r="AE30" s="220" t="n">
        <f aca="false">Algae_electricity_factor/I30</f>
        <v>0.00202842701581645</v>
      </c>
      <c r="AF30" s="220" t="n">
        <f aca="false">Algae_electricity_factor/J30</f>
        <v>0.00202842701581645</v>
      </c>
      <c r="AG30" s="220" t="n">
        <f aca="false">Algae_electricity_factor/K30</f>
        <v>0.00202842701581645</v>
      </c>
      <c r="AH30" s="220" t="n">
        <f aca="false">Algae_electricity_factor/L30</f>
        <v>0.00202842701581645</v>
      </c>
      <c r="AI30" s="220" t="n">
        <f aca="false">Algae_electricity_factor/M30</f>
        <v>0.00193658288167241</v>
      </c>
      <c r="AJ30" s="220" t="n">
        <f aca="false">Algae_electricity_factor/N30</f>
        <v>0.00188540372094061</v>
      </c>
      <c r="AK30" s="220" t="n">
        <f aca="false">Algae_electricity_factor/O30</f>
        <v>0.00181238538240375</v>
      </c>
      <c r="AL30" s="220" t="n">
        <f aca="false">Algae_electricity_factor/P30</f>
        <v>0.00171547972787895</v>
      </c>
      <c r="AM30" s="220" t="n">
        <f aca="false">Algae_electricity_factor/Q30</f>
        <v>0.00159851903457173</v>
      </c>
      <c r="AN30" s="220" t="n">
        <f aca="false">Algae_electricity_factor/R30</f>
        <v>0.00147249882472521</v>
      </c>
      <c r="AO30" s="220" t="n">
        <f aca="false">Algae_electricity_factor/S30</f>
        <v>0.00135228467721096</v>
      </c>
      <c r="AP30" s="220" t="n">
        <f aca="false">Algae_electricity_factor/T30</f>
        <v>0.00125021747960478</v>
      </c>
      <c r="AQ30" s="220" t="n">
        <f aca="false">Algae_electricity_factor/U30</f>
        <v>0.00117178415615593</v>
      </c>
      <c r="AR30" s="220" t="n">
        <f aca="false">Algae_electricity_factor/V30</f>
        <v>0.00111600764776603</v>
      </c>
      <c r="AS30" s="220" t="n">
        <f aca="false">Algae_electricity_factor/W30</f>
        <v>0.00107849328328247</v>
      </c>
      <c r="AT30" s="220" t="n">
        <f aca="false">Algae_electricity_factor/X30</f>
        <v>0.00105419828972837</v>
      </c>
      <c r="AU30" s="220" t="n">
        <f aca="false">Algae_electricity_factor/Y30</f>
        <v>0.00103884763602673</v>
      </c>
      <c r="AV30" s="220" t="n">
        <f aca="false">Algae_electricity_factor/Z30</f>
        <v>0.00102929903329629</v>
      </c>
      <c r="AW30" s="220" t="n">
        <f aca="false">Algae_electricity_factor/AA30</f>
        <v>0.00102341720628374</v>
      </c>
      <c r="AX30" s="220" t="n">
        <f aca="false">Algae_electricity_factor/AB30</f>
        <v>0.00101981583695542</v>
      </c>
      <c r="AY30" s="220" t="n">
        <f aca="false">Algae_electricity_factor/AC30</f>
        <v>0.00101761889368481</v>
      </c>
      <c r="AZ30" s="221" t="n">
        <f aca="false">Algae_yield_cost_factor/H30</f>
        <v>0.112293289167244</v>
      </c>
      <c r="BA30" s="197" t="n">
        <f aca="false">Algae_yield_cost_factor/I30</f>
        <v>0.112293289167244</v>
      </c>
      <c r="BB30" s="197" t="n">
        <f aca="false">Algae_yield_cost_factor/J30</f>
        <v>0.112293289167244</v>
      </c>
      <c r="BC30" s="197" t="n">
        <f aca="false">Algae_yield_cost_factor/K30</f>
        <v>0.112293289167244</v>
      </c>
      <c r="BD30" s="197" t="n">
        <f aca="false">Algae_yield_cost_factor/L30</f>
        <v>0.112293289167244</v>
      </c>
      <c r="BE30" s="197" t="n">
        <f aca="false">Algae_yield_cost_factor/M30</f>
        <v>0.107208817390181</v>
      </c>
      <c r="BF30" s="197" t="n">
        <f aca="false">Algae_yield_cost_factor/N30</f>
        <v>0.104375549912189</v>
      </c>
      <c r="BG30" s="197" t="n">
        <f aca="false">Algae_yield_cost_factor/O30</f>
        <v>0.100333270185141</v>
      </c>
      <c r="BH30" s="197" t="n">
        <f aca="false">Algae_yield_cost_factor/P30</f>
        <v>0.0949685937138434</v>
      </c>
      <c r="BI30" s="197" t="n">
        <f aca="false">Algae_yield_cost_factor/Q30</f>
        <v>0.0884936745511927</v>
      </c>
      <c r="BJ30" s="197" t="n">
        <f aca="false">Algae_yield_cost_factor/R30</f>
        <v>0.081517222475338</v>
      </c>
      <c r="BK30" s="197" t="n">
        <f aca="false">Algae_yield_cost_factor/S30</f>
        <v>0.0748621927781629</v>
      </c>
      <c r="BL30" s="197" t="n">
        <f aca="false">Algae_yield_cost_factor/T30</f>
        <v>0.0692117743771499</v>
      </c>
      <c r="BM30" s="197" t="n">
        <f aca="false">Algae_yield_cost_factor/U30</f>
        <v>0.0648697222344235</v>
      </c>
      <c r="BN30" s="197" t="n">
        <f aca="false">Algae_yield_cost_factor/V30</f>
        <v>0.0617819465656276</v>
      </c>
      <c r="BO30" s="197" t="n">
        <f aca="false">Algae_yield_cost_factor/W30</f>
        <v>0.0597051593082945</v>
      </c>
      <c r="BP30" s="197" t="n">
        <f aca="false">Algae_yield_cost_factor/X30</f>
        <v>0.0583601936204911</v>
      </c>
      <c r="BQ30" s="197" t="n">
        <f aca="false">Algae_yield_cost_factor/Y30</f>
        <v>0.0575103846889477</v>
      </c>
      <c r="BR30" s="197" t="n">
        <f aca="false">Algae_yield_cost_factor/Z30</f>
        <v>0.0569817760679856</v>
      </c>
      <c r="BS30" s="197" t="n">
        <f aca="false">Algae_yield_cost_factor/AA30</f>
        <v>0.0566561593726835</v>
      </c>
      <c r="BT30" s="197" t="n">
        <f aca="false">Algae_yield_cost_factor/AB30</f>
        <v>0.0564567883308715</v>
      </c>
      <c r="BU30" s="197" t="n">
        <f aca="false">Algae_yield_cost_factor/AC30</f>
        <v>0.0563351660175974</v>
      </c>
    </row>
    <row r="31" customFormat="false" ht="15" hidden="false" customHeight="false" outlineLevel="0" collapsed="false">
      <c r="A31" s="18" t="s">
        <v>695</v>
      </c>
      <c r="B31" s="18" t="s">
        <v>22</v>
      </c>
      <c r="C31" s="18" t="s">
        <v>686</v>
      </c>
      <c r="D31" s="18" t="s">
        <v>686</v>
      </c>
      <c r="E31" s="28" t="n">
        <v>6.536055</v>
      </c>
      <c r="F31" s="185" t="n">
        <f aca="false">E31/$B$2*$F$3/1000</f>
        <v>0.01601333475</v>
      </c>
      <c r="G31" s="18" t="n">
        <f aca="false">LOOKUP(RIGHT(D31,5),Ref!$C$4:$C$21,Ref!$E$4:$E$21)*$G$3</f>
        <v>4.5</v>
      </c>
      <c r="H31" s="218" t="n">
        <f aca="false">$E31</f>
        <v>6.536055</v>
      </c>
      <c r="I31" s="177" t="n">
        <f aca="false">$E31</f>
        <v>6.536055</v>
      </c>
      <c r="J31" s="177" t="n">
        <f aca="false">$E31</f>
        <v>6.536055</v>
      </c>
      <c r="K31" s="177" t="n">
        <f aca="false">$E31</f>
        <v>6.536055</v>
      </c>
      <c r="L31" s="177" t="n">
        <f aca="false">$E31</f>
        <v>6.536055</v>
      </c>
      <c r="M31" s="177" t="n">
        <f aca="false">M$3*$E31</f>
        <v>6.8460331155116</v>
      </c>
      <c r="N31" s="177" t="n">
        <f aca="false">N$3*$E31</f>
        <v>7.03186823681875</v>
      </c>
      <c r="O31" s="177" t="n">
        <f aca="false">O$3*$E31</f>
        <v>7.31517185449727</v>
      </c>
      <c r="P31" s="177" t="n">
        <f aca="false">P$3*$E31</f>
        <v>7.72839825700216</v>
      </c>
      <c r="Q31" s="177" t="n">
        <f aca="false">Q$3*$E31</f>
        <v>8.29387092185246</v>
      </c>
      <c r="R31" s="177" t="n">
        <f aca="false">R$3*$E31</f>
        <v>9.00368157600146</v>
      </c>
      <c r="S31" s="177" t="n">
        <f aca="false">S$3*$E31</f>
        <v>9.8040825</v>
      </c>
      <c r="T31" s="177" t="n">
        <f aca="false">T$3*$E31</f>
        <v>10.6044834239985</v>
      </c>
      <c r="U31" s="177" t="n">
        <f aca="false">U$3*$E31</f>
        <v>11.3142940781475</v>
      </c>
      <c r="V31" s="177" t="n">
        <f aca="false">V$3*$E31</f>
        <v>11.8797667429978</v>
      </c>
      <c r="W31" s="177" t="n">
        <f aca="false">W$3*$E31</f>
        <v>12.2929931455027</v>
      </c>
      <c r="X31" s="177" t="n">
        <f aca="false">X$3*$E31</f>
        <v>12.5762967631813</v>
      </c>
      <c r="Y31" s="177" t="n">
        <f aca="false">Y$3*$E31</f>
        <v>12.7621318844884</v>
      </c>
      <c r="Z31" s="177" t="n">
        <f aca="false">Z$3*$E31</f>
        <v>12.8805236476364</v>
      </c>
      <c r="AA31" s="177" t="n">
        <f aca="false">AA$3*$E31</f>
        <v>12.9545511424462</v>
      </c>
      <c r="AB31" s="177" t="n">
        <f aca="false">AB$3*$E31</f>
        <v>13.0002987386846</v>
      </c>
      <c r="AC31" s="177" t="n">
        <f aca="false">AC$3*$E31</f>
        <v>13.0283651582521</v>
      </c>
      <c r="AD31" s="219" t="n">
        <f aca="false">Algae_electricity_factor/H31</f>
        <v>0.00210273584043116</v>
      </c>
      <c r="AE31" s="220" t="n">
        <f aca="false">Algae_electricity_factor/I31</f>
        <v>0.00210273584043116</v>
      </c>
      <c r="AF31" s="220" t="n">
        <f aca="false">Algae_electricity_factor/J31</f>
        <v>0.00210273584043116</v>
      </c>
      <c r="AG31" s="220" t="n">
        <f aca="false">Algae_electricity_factor/K31</f>
        <v>0.00210273584043116</v>
      </c>
      <c r="AH31" s="220" t="n">
        <f aca="false">Algae_electricity_factor/L31</f>
        <v>0.00210273584043116</v>
      </c>
      <c r="AI31" s="220" t="n">
        <f aca="false">Algae_electricity_factor/M31</f>
        <v>0.00200752711411654</v>
      </c>
      <c r="AJ31" s="220" t="n">
        <f aca="false">Algae_electricity_factor/N31</f>
        <v>0.00195447307040937</v>
      </c>
      <c r="AK31" s="220" t="n">
        <f aca="false">Algae_electricity_factor/O31</f>
        <v>0.00187877979860171</v>
      </c>
      <c r="AL31" s="220" t="n">
        <f aca="false">Algae_electricity_factor/P31</f>
        <v>0.00177832412959272</v>
      </c>
      <c r="AM31" s="220" t="n">
        <f aca="false">Algae_electricity_factor/Q31</f>
        <v>0.00165707873115291</v>
      </c>
      <c r="AN31" s="220" t="n">
        <f aca="false">Algae_electricity_factor/R31</f>
        <v>0.0015264419323937</v>
      </c>
      <c r="AO31" s="220" t="n">
        <f aca="false">Algae_electricity_factor/S31</f>
        <v>0.00140182389362077</v>
      </c>
      <c r="AP31" s="220" t="n">
        <f aca="false">Algae_electricity_factor/T31</f>
        <v>0.00129601759501333</v>
      </c>
      <c r="AQ31" s="220" t="n">
        <f aca="false">Algae_electricity_factor/U31</f>
        <v>0.00121471096725987</v>
      </c>
      <c r="AR31" s="220" t="n">
        <f aca="false">Algae_electricity_factor/V31</f>
        <v>0.00115689115795392</v>
      </c>
      <c r="AS31" s="220" t="n">
        <f aca="false">Algae_electricity_factor/W31</f>
        <v>0.00111800250279626</v>
      </c>
      <c r="AT31" s="220" t="n">
        <f aca="false">Algae_electricity_factor/X31</f>
        <v>0.00109281749328351</v>
      </c>
      <c r="AU31" s="220" t="n">
        <f aca="false">Algae_electricity_factor/Y31</f>
        <v>0.00107690448805295</v>
      </c>
      <c r="AV31" s="220" t="n">
        <f aca="false">Algae_electricity_factor/Z31</f>
        <v>0.00106700608449651</v>
      </c>
      <c r="AW31" s="220" t="n">
        <f aca="false">Algae_electricity_factor/AA31</f>
        <v>0.00106090878428799</v>
      </c>
      <c r="AX31" s="220" t="n">
        <f aca="false">Algae_electricity_factor/AB31</f>
        <v>0.00105717548340892</v>
      </c>
      <c r="AY31" s="220" t="n">
        <f aca="false">Algae_electricity_factor/AC31</f>
        <v>0.00105489805793662</v>
      </c>
      <c r="AZ31" s="221" t="n">
        <f aca="false">Algae_yield_cost_factor/H31</f>
        <v>0.116407009929723</v>
      </c>
      <c r="BA31" s="197" t="n">
        <f aca="false">Algae_yield_cost_factor/I31</f>
        <v>0.116407009929723</v>
      </c>
      <c r="BB31" s="197" t="n">
        <f aca="false">Algae_yield_cost_factor/J31</f>
        <v>0.116407009929723</v>
      </c>
      <c r="BC31" s="197" t="n">
        <f aca="false">Algae_yield_cost_factor/K31</f>
        <v>0.116407009929723</v>
      </c>
      <c r="BD31" s="197" t="n">
        <f aca="false">Algae_yield_cost_factor/L31</f>
        <v>0.116407009929723</v>
      </c>
      <c r="BE31" s="197" t="n">
        <f aca="false">Algae_yield_cost_factor/M31</f>
        <v>0.111136275044057</v>
      </c>
      <c r="BF31" s="197" t="n">
        <f aca="false">Algae_yield_cost_factor/N31</f>
        <v>0.108199214442395</v>
      </c>
      <c r="BG31" s="197" t="n">
        <f aca="false">Algae_yield_cost_factor/O31</f>
        <v>0.104008850977091</v>
      </c>
      <c r="BH31" s="197" t="n">
        <f aca="false">Algae_yield_cost_factor/P31</f>
        <v>0.0984476464572555</v>
      </c>
      <c r="BI31" s="197" t="n">
        <f aca="false">Algae_yield_cost_factor/Q31</f>
        <v>0.0917355269276702</v>
      </c>
      <c r="BJ31" s="197" t="n">
        <f aca="false">Algae_yield_cost_factor/R31</f>
        <v>0.084503501469241</v>
      </c>
      <c r="BK31" s="197" t="n">
        <f aca="false">Algae_yield_cost_factor/S31</f>
        <v>0.0776046732864822</v>
      </c>
      <c r="BL31" s="197" t="n">
        <f aca="false">Algae_yield_cost_factor/T31</f>
        <v>0.0717472590474693</v>
      </c>
      <c r="BM31" s="197" t="n">
        <f aca="false">Algae_yield_cost_factor/U31</f>
        <v>0.06724614138815</v>
      </c>
      <c r="BN31" s="197" t="n">
        <f aca="false">Algae_yield_cost_factor/V31</f>
        <v>0.064045249014226</v>
      </c>
      <c r="BO31" s="197" t="n">
        <f aca="false">Algae_yield_cost_factor/W31</f>
        <v>0.0618923813167963</v>
      </c>
      <c r="BP31" s="197" t="n">
        <f aca="false">Algae_yield_cost_factor/X31</f>
        <v>0.0604981445343818</v>
      </c>
      <c r="BQ31" s="197" t="n">
        <f aca="false">Algae_yield_cost_factor/Y31</f>
        <v>0.0596172039415277</v>
      </c>
      <c r="BR31" s="197" t="n">
        <f aca="false">Algae_yield_cost_factor/Z31</f>
        <v>0.0590692304210653</v>
      </c>
      <c r="BS31" s="197" t="n">
        <f aca="false">Algae_yield_cost_factor/AA31</f>
        <v>0.0587316851753574</v>
      </c>
      <c r="BT31" s="197" t="n">
        <f aca="false">Algae_yield_cost_factor/AB31</f>
        <v>0.0585250104308912</v>
      </c>
      <c r="BU31" s="197" t="n">
        <f aca="false">Algae_yield_cost_factor/AC31</f>
        <v>0.0583989326400101</v>
      </c>
    </row>
    <row r="32" customFormat="false" ht="15" hidden="false" customHeight="false" outlineLevel="0" collapsed="false">
      <c r="A32" s="18" t="s">
        <v>696</v>
      </c>
      <c r="B32" s="18" t="s">
        <v>22</v>
      </c>
      <c r="C32" s="18" t="s">
        <v>690</v>
      </c>
      <c r="D32" s="18" t="s">
        <v>690</v>
      </c>
      <c r="E32" s="28" t="n">
        <v>6.904705</v>
      </c>
      <c r="F32" s="185" t="n">
        <f aca="false">E32/$B$2*$F$3/1000</f>
        <v>0.01691652725</v>
      </c>
      <c r="G32" s="18" t="n">
        <f aca="false">LOOKUP(RIGHT(D32,5),Ref!$C$4:$C$21,Ref!$E$4:$E$21)*$G$3</f>
        <v>1.5</v>
      </c>
      <c r="H32" s="218" t="n">
        <f aca="false">$E32</f>
        <v>6.904705</v>
      </c>
      <c r="I32" s="177" t="n">
        <f aca="false">$E32</f>
        <v>6.904705</v>
      </c>
      <c r="J32" s="177" t="n">
        <f aca="false">$E32</f>
        <v>6.904705</v>
      </c>
      <c r="K32" s="177" t="n">
        <f aca="false">$E32</f>
        <v>6.904705</v>
      </c>
      <c r="L32" s="177" t="n">
        <f aca="false">$E32</f>
        <v>6.904705</v>
      </c>
      <c r="M32" s="177" t="n">
        <f aca="false">M$3*$E32</f>
        <v>7.23216666365851</v>
      </c>
      <c r="N32" s="177" t="n">
        <f aca="false">N$3*$E32</f>
        <v>7.42848335488358</v>
      </c>
      <c r="O32" s="177" t="n">
        <f aca="false">O$3*$E32</f>
        <v>7.72776601170073</v>
      </c>
      <c r="P32" s="177" t="n">
        <f aca="false">P$3*$E32</f>
        <v>8.16429942635337</v>
      </c>
      <c r="Q32" s="177" t="n">
        <f aca="false">Q$3*$E32</f>
        <v>8.76166617684051</v>
      </c>
      <c r="R32" s="177" t="n">
        <f aca="false">R$3*$E32</f>
        <v>9.5115119435539</v>
      </c>
      <c r="S32" s="177" t="n">
        <f aca="false">S$3*$E32</f>
        <v>10.3570575</v>
      </c>
      <c r="T32" s="177" t="n">
        <f aca="false">T$3*$E32</f>
        <v>11.2026030564461</v>
      </c>
      <c r="U32" s="177" t="n">
        <f aca="false">U$3*$E32</f>
        <v>11.9524488231595</v>
      </c>
      <c r="V32" s="177" t="n">
        <f aca="false">V$3*$E32</f>
        <v>12.5498155736466</v>
      </c>
      <c r="W32" s="177" t="n">
        <f aca="false">W$3*$E32</f>
        <v>12.9863489882993</v>
      </c>
      <c r="X32" s="177" t="n">
        <f aca="false">X$3*$E32</f>
        <v>13.2856316451164</v>
      </c>
      <c r="Y32" s="177" t="n">
        <f aca="false">Y$3*$E32</f>
        <v>13.4819483363415</v>
      </c>
      <c r="Z32" s="177" t="n">
        <f aca="false">Z$3*$E32</f>
        <v>13.60701769377</v>
      </c>
      <c r="AA32" s="177" t="n">
        <f aca="false">AA$3*$E32</f>
        <v>13.6852205261437</v>
      </c>
      <c r="AB32" s="177" t="n">
        <f aca="false">AB$3*$E32</f>
        <v>13.7335484022838</v>
      </c>
      <c r="AC32" s="177" t="n">
        <f aca="false">AC$3*$E32</f>
        <v>13.7631978387588</v>
      </c>
      <c r="AD32" s="219" t="n">
        <f aca="false">Algae_electricity_factor/H32</f>
        <v>0.00199046839850932</v>
      </c>
      <c r="AE32" s="220" t="n">
        <f aca="false">Algae_electricity_factor/I32</f>
        <v>0.00199046839850932</v>
      </c>
      <c r="AF32" s="220" t="n">
        <f aca="false">Algae_electricity_factor/J32</f>
        <v>0.00199046839850932</v>
      </c>
      <c r="AG32" s="220" t="n">
        <f aca="false">Algae_electricity_factor/K32</f>
        <v>0.00199046839850932</v>
      </c>
      <c r="AH32" s="220" t="n">
        <f aca="false">Algae_electricity_factor/L32</f>
        <v>0.00199046839850932</v>
      </c>
      <c r="AI32" s="220" t="n">
        <f aca="false">Algae_electricity_factor/M32</f>
        <v>0.00190034297364724</v>
      </c>
      <c r="AJ32" s="220" t="n">
        <f aca="false">Algae_electricity_factor/N32</f>
        <v>0.00185012154526725</v>
      </c>
      <c r="AK32" s="220" t="n">
        <f aca="false">Algae_electricity_factor/O32</f>
        <v>0.00177846962274995</v>
      </c>
      <c r="AL32" s="220" t="n">
        <f aca="false">Algae_electricity_factor/P32</f>
        <v>0.00168337739539128</v>
      </c>
      <c r="AM32" s="220" t="n">
        <f aca="false">Algae_electricity_factor/Q32</f>
        <v>0.00156860542574167</v>
      </c>
      <c r="AN32" s="220" t="n">
        <f aca="false">Algae_electricity_factor/R32</f>
        <v>0.00144494347324491</v>
      </c>
      <c r="AO32" s="220" t="n">
        <f aca="false">Algae_electricity_factor/S32</f>
        <v>0.00132697893233954</v>
      </c>
      <c r="AP32" s="220" t="n">
        <f aca="false">Algae_electricity_factor/T32</f>
        <v>0.00122682175154113</v>
      </c>
      <c r="AQ32" s="220" t="n">
        <f aca="false">Algae_electricity_factor/U32</f>
        <v>0.00114985617649324</v>
      </c>
      <c r="AR32" s="220" t="n">
        <f aca="false">Algae_electricity_factor/V32</f>
        <v>0.00109512343212353</v>
      </c>
      <c r="AS32" s="220" t="n">
        <f aca="false">Algae_electricity_factor/W32</f>
        <v>0.00105831108619615</v>
      </c>
      <c r="AT32" s="220" t="n">
        <f aca="false">Algae_electricity_factor/X32</f>
        <v>0.00103447073279208</v>
      </c>
      <c r="AU32" s="220" t="n">
        <f aca="false">Algae_electricity_factor/Y32</f>
        <v>0.00101940734088726</v>
      </c>
      <c r="AV32" s="220" t="n">
        <f aca="false">Algae_electricity_factor/Z32</f>
        <v>0.00101003742427864</v>
      </c>
      <c r="AW32" s="220" t="n">
        <f aca="false">Algae_electricity_factor/AA32</f>
        <v>0.0010042656658162</v>
      </c>
      <c r="AX32" s="220" t="n">
        <f aca="false">Algae_electricity_factor/AB32</f>
        <v>0.00100073169008847</v>
      </c>
      <c r="AY32" s="220" t="n">
        <f aca="false">Algae_electricity_factor/AC32</f>
        <v>0.000998575858934878</v>
      </c>
      <c r="AZ32" s="221" t="n">
        <f aca="false">Algae_yield_cost_factor/H32</f>
        <v>0.110191908167868</v>
      </c>
      <c r="BA32" s="197" t="n">
        <f aca="false">Algae_yield_cost_factor/I32</f>
        <v>0.110191908167868</v>
      </c>
      <c r="BB32" s="197" t="n">
        <f aca="false">Algae_yield_cost_factor/J32</f>
        <v>0.110191908167868</v>
      </c>
      <c r="BC32" s="197" t="n">
        <f aca="false">Algae_yield_cost_factor/K32</f>
        <v>0.110191908167868</v>
      </c>
      <c r="BD32" s="197" t="n">
        <f aca="false">Algae_yield_cost_factor/L32</f>
        <v>0.110191908167868</v>
      </c>
      <c r="BE32" s="197" t="n">
        <f aca="false">Algae_yield_cost_factor/M32</f>
        <v>0.105202583771947</v>
      </c>
      <c r="BF32" s="197" t="n">
        <f aca="false">Algae_yield_cost_factor/N32</f>
        <v>0.102422336153722</v>
      </c>
      <c r="BG32" s="197" t="n">
        <f aca="false">Algae_yield_cost_factor/O32</f>
        <v>0.0984557009275662</v>
      </c>
      <c r="BH32" s="197" t="n">
        <f aca="false">Algae_yield_cost_factor/P32</f>
        <v>0.0931914153993801</v>
      </c>
      <c r="BI32" s="197" t="n">
        <f aca="false">Algae_yield_cost_factor/Q32</f>
        <v>0.0868376635139711</v>
      </c>
      <c r="BJ32" s="197" t="n">
        <f aca="false">Algae_yield_cost_factor/R32</f>
        <v>0.0799917640645821</v>
      </c>
      <c r="BK32" s="197" t="n">
        <f aca="false">Algae_yield_cost_factor/S32</f>
        <v>0.0734612721119119</v>
      </c>
      <c r="BL32" s="197" t="n">
        <f aca="false">Algae_yield_cost_factor/T32</f>
        <v>0.0679165918360752</v>
      </c>
      <c r="BM32" s="197" t="n">
        <f aca="false">Algae_yield_cost_factor/U32</f>
        <v>0.0636557939333722</v>
      </c>
      <c r="BN32" s="197" t="n">
        <f aca="false">Algae_yield_cost_factor/V32</f>
        <v>0.0606258008192496</v>
      </c>
      <c r="BO32" s="197" t="n">
        <f aca="false">Algae_yield_cost_factor/W32</f>
        <v>0.0585878771602194</v>
      </c>
      <c r="BP32" s="197" t="n">
        <f aca="false">Algae_yield_cost_factor/X32</f>
        <v>0.057268080254648</v>
      </c>
      <c r="BQ32" s="197" t="n">
        <f aca="false">Algae_yield_cost_factor/Y32</f>
        <v>0.05643417407522</v>
      </c>
      <c r="BR32" s="197" t="n">
        <f aca="false">Algae_yield_cost_factor/Z32</f>
        <v>0.0559154574800453</v>
      </c>
      <c r="BS32" s="197" t="n">
        <f aca="false">Algae_yield_cost_factor/AA32</f>
        <v>0.055595934156321</v>
      </c>
      <c r="BT32" s="197" t="n">
        <f aca="false">Algae_yield_cost_factor/AB32</f>
        <v>0.0554002940099365</v>
      </c>
      <c r="BU32" s="197" t="n">
        <f aca="false">Algae_yield_cost_factor/AC32</f>
        <v>0.0552809476547371</v>
      </c>
    </row>
    <row r="33" customFormat="false" ht="15" hidden="false" customHeight="false" outlineLevel="0" collapsed="false">
      <c r="A33" s="18" t="s">
        <v>696</v>
      </c>
      <c r="B33" s="18" t="s">
        <v>22</v>
      </c>
      <c r="C33" s="18" t="s">
        <v>691</v>
      </c>
      <c r="D33" s="18" t="s">
        <v>691</v>
      </c>
      <c r="E33" s="28" t="n">
        <v>7.279998</v>
      </c>
      <c r="F33" s="185" t="n">
        <f aca="false">E33/$B$2*$F$3/1000</f>
        <v>0.0178359951</v>
      </c>
      <c r="G33" s="18" t="n">
        <f aca="false">LOOKUP(RIGHT(D33,5),Ref!$C$4:$C$21,Ref!$E$4:$E$21)*$G$3</f>
        <v>2</v>
      </c>
      <c r="H33" s="218" t="n">
        <f aca="false">$E33</f>
        <v>7.279998</v>
      </c>
      <c r="I33" s="177" t="n">
        <f aca="false">$E33</f>
        <v>7.279998</v>
      </c>
      <c r="J33" s="177" t="n">
        <f aca="false">$E33</f>
        <v>7.279998</v>
      </c>
      <c r="K33" s="177" t="n">
        <f aca="false">$E33</f>
        <v>7.279998</v>
      </c>
      <c r="L33" s="177" t="n">
        <f aca="false">$E33</f>
        <v>7.279998</v>
      </c>
      <c r="M33" s="177" t="n">
        <f aca="false">M$3*$E33</f>
        <v>7.62525826188094</v>
      </c>
      <c r="N33" s="177" t="n">
        <f aca="false">N$3*$E33</f>
        <v>7.83224539883829</v>
      </c>
      <c r="O33" s="177" t="n">
        <f aca="false">O$3*$E33</f>
        <v>8.14779503391517</v>
      </c>
      <c r="P33" s="177" t="n">
        <f aca="false">P$3*$E33</f>
        <v>8.60805544845923</v>
      </c>
      <c r="Q33" s="177" t="n">
        <f aca="false">Q$3*$E33</f>
        <v>9.23789100969072</v>
      </c>
      <c r="R33" s="177" t="n">
        <f aca="false">R$3*$E33</f>
        <v>10.0284933137692</v>
      </c>
      <c r="S33" s="177" t="n">
        <f aca="false">S$3*$E33</f>
        <v>10.919997</v>
      </c>
      <c r="T33" s="177" t="n">
        <f aca="false">T$3*$E33</f>
        <v>11.8115006862308</v>
      </c>
      <c r="U33" s="177" t="n">
        <f aca="false">U$3*$E33</f>
        <v>12.6021029903093</v>
      </c>
      <c r="V33" s="177" t="n">
        <f aca="false">V$3*$E33</f>
        <v>13.2319385515408</v>
      </c>
      <c r="W33" s="177" t="n">
        <f aca="false">W$3*$E33</f>
        <v>13.6921989660848</v>
      </c>
      <c r="X33" s="177" t="n">
        <f aca="false">X$3*$E33</f>
        <v>14.0077486011617</v>
      </c>
      <c r="Y33" s="177" t="n">
        <f aca="false">Y$3*$E33</f>
        <v>14.2147357381191</v>
      </c>
      <c r="Z33" s="177" t="n">
        <f aca="false">Z$3*$E33</f>
        <v>14.3466030187546</v>
      </c>
      <c r="AA33" s="177" t="n">
        <f aca="false">AA$3*$E33</f>
        <v>14.4290564274484</v>
      </c>
      <c r="AB33" s="177" t="n">
        <f aca="false">AB$3*$E33</f>
        <v>14.4800110796232</v>
      </c>
      <c r="AC33" s="177" t="n">
        <f aca="false">AC$3*$E33</f>
        <v>14.5112720586569</v>
      </c>
      <c r="AD33" s="219" t="n">
        <f aca="false">Algae_electricity_factor/H33</f>
        <v>0.00188785726363239</v>
      </c>
      <c r="AE33" s="220" t="n">
        <f aca="false">Algae_electricity_factor/I33</f>
        <v>0.00188785726363239</v>
      </c>
      <c r="AF33" s="220" t="n">
        <f aca="false">Algae_electricity_factor/J33</f>
        <v>0.00188785726363239</v>
      </c>
      <c r="AG33" s="220" t="n">
        <f aca="false">Algae_electricity_factor/K33</f>
        <v>0.00188785726363239</v>
      </c>
      <c r="AH33" s="220" t="n">
        <f aca="false">Algae_electricity_factor/L33</f>
        <v>0.00188785726363239</v>
      </c>
      <c r="AI33" s="220" t="n">
        <f aca="false">Algae_electricity_factor/M33</f>
        <v>0.00180237791711714</v>
      </c>
      <c r="AJ33" s="220" t="n">
        <f aca="false">Algae_electricity_factor/N33</f>
        <v>0.00175474546616833</v>
      </c>
      <c r="AK33" s="220" t="n">
        <f aca="false">Algae_electricity_factor/O33</f>
        <v>0.00168678728985223</v>
      </c>
      <c r="AL33" s="220" t="n">
        <f aca="false">Algae_electricity_factor/P33</f>
        <v>0.00159659718571971</v>
      </c>
      <c r="AM33" s="220" t="n">
        <f aca="false">Algae_electricity_factor/Q33</f>
        <v>0.00148774185461941</v>
      </c>
      <c r="AN33" s="220" t="n">
        <f aca="false">Algae_electricity_factor/R33</f>
        <v>0.00137045483040401</v>
      </c>
      <c r="AO33" s="220" t="n">
        <f aca="false">Algae_electricity_factor/S33</f>
        <v>0.00125857150908826</v>
      </c>
      <c r="AP33" s="220" t="n">
        <f aca="false">Algae_electricity_factor/T33</f>
        <v>0.00116357755619917</v>
      </c>
      <c r="AQ33" s="220" t="n">
        <f aca="false">Algae_electricity_factor/U33</f>
        <v>0.00109057965278476</v>
      </c>
      <c r="AR33" s="220" t="n">
        <f aca="false">Algae_electricity_factor/V33</f>
        <v>0.00103866844982657</v>
      </c>
      <c r="AS33" s="220" t="n">
        <f aca="false">Algae_electricity_factor/W33</f>
        <v>0.00100375382636286</v>
      </c>
      <c r="AT33" s="220" t="n">
        <f aca="false">Algae_electricity_factor/X33</f>
        <v>0.000981142472987376</v>
      </c>
      <c r="AU33" s="220" t="n">
        <f aca="false">Algae_electricity_factor/Y33</f>
        <v>0.000966855617770905</v>
      </c>
      <c r="AV33" s="220" t="n">
        <f aca="false">Algae_electricity_factor/Z33</f>
        <v>0.000957968732079848</v>
      </c>
      <c r="AW33" s="220" t="n">
        <f aca="false">Algae_electricity_factor/AA33</f>
        <v>0.000952494514983309</v>
      </c>
      <c r="AX33" s="220" t="n">
        <f aca="false">Algae_electricity_factor/AB33</f>
        <v>0.000949142720123314</v>
      </c>
      <c r="AY33" s="220" t="n">
        <f aca="false">Algae_electricity_factor/AC33</f>
        <v>0.000947098024761401</v>
      </c>
      <c r="AZ33" s="221" t="n">
        <f aca="false">Algae_yield_cost_factor/H33</f>
        <v>0.104511377514969</v>
      </c>
      <c r="BA33" s="197" t="n">
        <f aca="false">Algae_yield_cost_factor/I33</f>
        <v>0.104511377514969</v>
      </c>
      <c r="BB33" s="197" t="n">
        <f aca="false">Algae_yield_cost_factor/J33</f>
        <v>0.104511377514969</v>
      </c>
      <c r="BC33" s="197" t="n">
        <f aca="false">Algae_yield_cost_factor/K33</f>
        <v>0.104511377514969</v>
      </c>
      <c r="BD33" s="197" t="n">
        <f aca="false">Algae_yield_cost_factor/L33</f>
        <v>0.104511377514969</v>
      </c>
      <c r="BE33" s="197" t="n">
        <f aca="false">Algae_yield_cost_factor/M33</f>
        <v>0.0997792590304396</v>
      </c>
      <c r="BF33" s="197" t="n">
        <f aca="false">Algae_yield_cost_factor/N33</f>
        <v>0.0971423366534287</v>
      </c>
      <c r="BG33" s="197" t="n">
        <f aca="false">Algae_yield_cost_factor/O33</f>
        <v>0.0933801864331654</v>
      </c>
      <c r="BH33" s="197" t="n">
        <f aca="false">Algae_yield_cost_factor/P33</f>
        <v>0.0883872814065577</v>
      </c>
      <c r="BI33" s="197" t="n">
        <f aca="false">Algae_yield_cost_factor/Q33</f>
        <v>0.0823610733757391</v>
      </c>
      <c r="BJ33" s="197" t="n">
        <f aca="false">Algae_yield_cost_factor/R33</f>
        <v>0.0758680886032579</v>
      </c>
      <c r="BK33" s="197" t="n">
        <f aca="false">Algae_yield_cost_factor/S33</f>
        <v>0.0696742516766459</v>
      </c>
      <c r="BL33" s="197" t="n">
        <f aca="false">Algae_yield_cost_factor/T33</f>
        <v>0.0644154066022418</v>
      </c>
      <c r="BM33" s="197" t="n">
        <f aca="false">Algae_yield_cost_factor/U33</f>
        <v>0.0603742581592364</v>
      </c>
      <c r="BN33" s="197" t="n">
        <f aca="false">Algae_yield_cost_factor/V33</f>
        <v>0.0575004649789295</v>
      </c>
      <c r="BO33" s="197" t="n">
        <f aca="false">Algae_yield_cost_factor/W33</f>
        <v>0.0555675988327954</v>
      </c>
      <c r="BP33" s="197" t="n">
        <f aca="false">Algae_yield_cost_factor/X33</f>
        <v>0.0543158391080147</v>
      </c>
      <c r="BQ33" s="197" t="n">
        <f aca="false">Algae_yield_cost_factor/Y33</f>
        <v>0.0535249218348744</v>
      </c>
      <c r="BR33" s="197" t="n">
        <f aca="false">Algae_yield_cost_factor/Z33</f>
        <v>0.0530329457287977</v>
      </c>
      <c r="BS33" s="197" t="n">
        <f aca="false">Algae_yield_cost_factor/AA33</f>
        <v>0.0527298942319518</v>
      </c>
      <c r="BT33" s="197" t="n">
        <f aca="false">Algae_yield_cost_factor/AB33</f>
        <v>0.0525443395797469</v>
      </c>
      <c r="BU33" s="197" t="n">
        <f aca="false">Algae_yield_cost_factor/AC33</f>
        <v>0.0524311456783919</v>
      </c>
    </row>
    <row r="34" customFormat="false" ht="15" hidden="false" customHeight="false" outlineLevel="0" collapsed="false">
      <c r="A34" s="18" t="s">
        <v>696</v>
      </c>
      <c r="B34" s="18" t="s">
        <v>22</v>
      </c>
      <c r="C34" s="18" t="s">
        <v>692</v>
      </c>
      <c r="D34" s="18" t="s">
        <v>692</v>
      </c>
      <c r="E34" s="28" t="n">
        <v>7.231015</v>
      </c>
      <c r="F34" s="185" t="n">
        <f aca="false">E34/$B$2*$F$3/1000</f>
        <v>0.01771598675</v>
      </c>
      <c r="G34" s="18" t="n">
        <f aca="false">LOOKUP(RIGHT(D34,5),Ref!$C$4:$C$21,Ref!$E$4:$E$21)*$G$3</f>
        <v>2.5</v>
      </c>
      <c r="H34" s="218" t="n">
        <f aca="false">$E34</f>
        <v>7.231015</v>
      </c>
      <c r="I34" s="177" t="n">
        <f aca="false">$E34</f>
        <v>7.231015</v>
      </c>
      <c r="J34" s="177" t="n">
        <f aca="false">$E34</f>
        <v>7.231015</v>
      </c>
      <c r="K34" s="177" t="n">
        <f aca="false">$E34</f>
        <v>7.231015</v>
      </c>
      <c r="L34" s="177" t="n">
        <f aca="false">$E34</f>
        <v>7.231015</v>
      </c>
      <c r="M34" s="177" t="n">
        <f aca="false">M$3*$E34</f>
        <v>7.57395220033508</v>
      </c>
      <c r="N34" s="177" t="n">
        <f aca="false">N$3*$E34</f>
        <v>7.77954663760631</v>
      </c>
      <c r="O34" s="177" t="n">
        <f aca="false">O$3*$E34</f>
        <v>8.09297311718576</v>
      </c>
      <c r="P34" s="177" t="n">
        <f aca="false">P$3*$E34</f>
        <v>8.55013669902662</v>
      </c>
      <c r="Q34" s="177" t="n">
        <f aca="false">Q$3*$E34</f>
        <v>9.17573445204776</v>
      </c>
      <c r="R34" s="177" t="n">
        <f aca="false">R$3*$E34</f>
        <v>9.96101723918942</v>
      </c>
      <c r="S34" s="177" t="n">
        <f aca="false">S$3*$E34</f>
        <v>10.8465225</v>
      </c>
      <c r="T34" s="177" t="n">
        <f aca="false">T$3*$E34</f>
        <v>11.7320277608106</v>
      </c>
      <c r="U34" s="177" t="n">
        <f aca="false">U$3*$E34</f>
        <v>12.5173105479522</v>
      </c>
      <c r="V34" s="177" t="n">
        <f aca="false">V$3*$E34</f>
        <v>13.1429083009734</v>
      </c>
      <c r="W34" s="177" t="n">
        <f aca="false">W$3*$E34</f>
        <v>13.6000718828142</v>
      </c>
      <c r="X34" s="177" t="n">
        <f aca="false">X$3*$E34</f>
        <v>13.9134983623937</v>
      </c>
      <c r="Y34" s="177" t="n">
        <f aca="false">Y$3*$E34</f>
        <v>14.1190927996649</v>
      </c>
      <c r="Z34" s="177" t="n">
        <f aca="false">Z$3*$E34</f>
        <v>14.2500728197535</v>
      </c>
      <c r="AA34" s="177" t="n">
        <f aca="false">AA$3*$E34</f>
        <v>14.331971445971</v>
      </c>
      <c r="AB34" s="177" t="n">
        <f aca="false">AB$3*$E34</f>
        <v>14.382583253034</v>
      </c>
      <c r="AC34" s="177" t="n">
        <f aca="false">AC$3*$E34</f>
        <v>14.4136338945737</v>
      </c>
      <c r="AD34" s="219" t="n">
        <f aca="false">Algae_electricity_factor/H34</f>
        <v>0.00190064563599014</v>
      </c>
      <c r="AE34" s="220" t="n">
        <f aca="false">Algae_electricity_factor/I34</f>
        <v>0.00190064563599014</v>
      </c>
      <c r="AF34" s="220" t="n">
        <f aca="false">Algae_electricity_factor/J34</f>
        <v>0.00190064563599014</v>
      </c>
      <c r="AG34" s="220" t="n">
        <f aca="false">Algae_electricity_factor/K34</f>
        <v>0.00190064563599014</v>
      </c>
      <c r="AH34" s="220" t="n">
        <f aca="false">Algae_electricity_factor/L34</f>
        <v>0.00190064563599014</v>
      </c>
      <c r="AI34" s="220" t="n">
        <f aca="false">Algae_electricity_factor/M34</f>
        <v>0.00181458725114759</v>
      </c>
      <c r="AJ34" s="220" t="n">
        <f aca="false">Algae_electricity_factor/N34</f>
        <v>0.0017666321372884</v>
      </c>
      <c r="AK34" s="220" t="n">
        <f aca="false">Algae_electricity_factor/O34</f>
        <v>0.00169821361130487</v>
      </c>
      <c r="AL34" s="220" t="n">
        <f aca="false">Algae_electricity_factor/P34</f>
        <v>0.00160741255810493</v>
      </c>
      <c r="AM34" s="220" t="n">
        <f aca="false">Algae_electricity_factor/Q34</f>
        <v>0.00149781983942028</v>
      </c>
      <c r="AN34" s="220" t="n">
        <f aca="false">Algae_electricity_factor/R34</f>
        <v>0.00137973831120963</v>
      </c>
      <c r="AO34" s="220" t="n">
        <f aca="false">Algae_electricity_factor/S34</f>
        <v>0.0012670970906601</v>
      </c>
      <c r="AP34" s="220" t="n">
        <f aca="false">Algae_electricity_factor/T34</f>
        <v>0.00117145964736276</v>
      </c>
      <c r="AQ34" s="220" t="n">
        <f aca="false">Algae_electricity_factor/U34</f>
        <v>0.00109796725509679</v>
      </c>
      <c r="AR34" s="220" t="n">
        <f aca="false">Algae_electricity_factor/V34</f>
        <v>0.00104570440490035</v>
      </c>
      <c r="AS34" s="220" t="n">
        <f aca="false">Algae_electricity_factor/W34</f>
        <v>0.00101055326927326</v>
      </c>
      <c r="AT34" s="220" t="n">
        <f aca="false">Algae_electricity_factor/X34</f>
        <v>0.000987788746263582</v>
      </c>
      <c r="AU34" s="220" t="n">
        <f aca="false">Algae_electricity_factor/Y34</f>
        <v>0.000973405111683623</v>
      </c>
      <c r="AV34" s="220" t="n">
        <f aca="false">Algae_electricity_factor/Z34</f>
        <v>0.0009644580261006</v>
      </c>
      <c r="AW34" s="220" t="n">
        <f aca="false">Algae_electricity_factor/AA34</f>
        <v>0.000958946726578421</v>
      </c>
      <c r="AX34" s="220" t="n">
        <f aca="false">Algae_electricity_factor/AB34</f>
        <v>0.000955572226611656</v>
      </c>
      <c r="AY34" s="220" t="n">
        <f aca="false">Algae_electricity_factor/AC34</f>
        <v>0.000953513680453843</v>
      </c>
      <c r="AZ34" s="221" t="n">
        <f aca="false">Algae_yield_cost_factor/H34</f>
        <v>0.105219339095026</v>
      </c>
      <c r="BA34" s="197" t="n">
        <f aca="false">Algae_yield_cost_factor/I34</f>
        <v>0.105219339095026</v>
      </c>
      <c r="BB34" s="197" t="n">
        <f aca="false">Algae_yield_cost_factor/J34</f>
        <v>0.105219339095026</v>
      </c>
      <c r="BC34" s="197" t="n">
        <f aca="false">Algae_yield_cost_factor/K34</f>
        <v>0.105219339095026</v>
      </c>
      <c r="BD34" s="197" t="n">
        <f aca="false">Algae_yield_cost_factor/L34</f>
        <v>0.105219339095026</v>
      </c>
      <c r="BE34" s="197" t="n">
        <f aca="false">Algae_yield_cost_factor/M34</f>
        <v>0.100455165171567</v>
      </c>
      <c r="BF34" s="197" t="n">
        <f aca="false">Algae_yield_cost_factor/N34</f>
        <v>0.0978003802443071</v>
      </c>
      <c r="BG34" s="197" t="n">
        <f aca="false">Algae_yield_cost_factor/O34</f>
        <v>0.0940127451641396</v>
      </c>
      <c r="BH34" s="197" t="n">
        <f aca="false">Algae_yield_cost_factor/P34</f>
        <v>0.088986018126802</v>
      </c>
      <c r="BI34" s="197" t="n">
        <f aca="false">Algae_yield_cost_factor/Q34</f>
        <v>0.0829189884757857</v>
      </c>
      <c r="BJ34" s="197" t="n">
        <f aca="false">Algae_yield_cost_factor/R34</f>
        <v>0.0763820201307202</v>
      </c>
      <c r="BK34" s="197" t="n">
        <f aca="false">Algae_yield_cost_factor/S34</f>
        <v>0.0701462260633505</v>
      </c>
      <c r="BL34" s="197" t="n">
        <f aca="false">Algae_yield_cost_factor/T34</f>
        <v>0.0648517574964936</v>
      </c>
      <c r="BM34" s="197" t="n">
        <f aca="false">Algae_yield_cost_factor/U34</f>
        <v>0.0607832342555955</v>
      </c>
      <c r="BN34" s="197" t="n">
        <f aca="false">Algae_yield_cost_factor/V34</f>
        <v>0.0578899739587979</v>
      </c>
      <c r="BO34" s="197" t="n">
        <f aca="false">Algae_yield_cost_factor/W34</f>
        <v>0.0559440145494862</v>
      </c>
      <c r="BP34" s="197" t="n">
        <f aca="false">Algae_yield_cost_factor/X34</f>
        <v>0.0546837753862589</v>
      </c>
      <c r="BQ34" s="197" t="n">
        <f aca="false">Algae_yield_cost_factor/Y34</f>
        <v>0.0538875004280923</v>
      </c>
      <c r="BR34" s="197" t="n">
        <f aca="false">Algae_yield_cost_factor/Z34</f>
        <v>0.0533921916687707</v>
      </c>
      <c r="BS34" s="197" t="n">
        <f aca="false">Algae_yield_cost_factor/AA34</f>
        <v>0.0530870872967101</v>
      </c>
      <c r="BT34" s="197" t="n">
        <f aca="false">Algae_yield_cost_factor/AB34</f>
        <v>0.0529002756946125</v>
      </c>
      <c r="BU34" s="197" t="n">
        <f aca="false">Algae_yield_cost_factor/AC34</f>
        <v>0.0527863150161356</v>
      </c>
    </row>
    <row r="35" customFormat="false" ht="15" hidden="false" customHeight="false" outlineLevel="0" collapsed="false">
      <c r="A35" s="18" t="s">
        <v>696</v>
      </c>
      <c r="B35" s="18" t="s">
        <v>22</v>
      </c>
      <c r="C35" s="18" t="s">
        <v>693</v>
      </c>
      <c r="D35" s="18" t="s">
        <v>693</v>
      </c>
      <c r="E35" s="28" t="n">
        <v>7.2271825</v>
      </c>
      <c r="F35" s="185" t="n">
        <f aca="false">E35/$B$2*$F$3/1000</f>
        <v>0.017706597125</v>
      </c>
      <c r="G35" s="18" t="n">
        <f aca="false">LOOKUP(RIGHT(D35,5),Ref!$C$4:$C$21,Ref!$E$4:$E$21)*$G$3</f>
        <v>3</v>
      </c>
      <c r="H35" s="218" t="n">
        <f aca="false">$E35</f>
        <v>7.2271825</v>
      </c>
      <c r="I35" s="177" t="n">
        <f aca="false">$E35</f>
        <v>7.2271825</v>
      </c>
      <c r="J35" s="177" t="n">
        <f aca="false">$E35</f>
        <v>7.2271825</v>
      </c>
      <c r="K35" s="177" t="n">
        <f aca="false">$E35</f>
        <v>7.2271825</v>
      </c>
      <c r="L35" s="177" t="n">
        <f aca="false">$E35</f>
        <v>7.2271825</v>
      </c>
      <c r="M35" s="177" t="n">
        <f aca="false">M$3*$E35</f>
        <v>7.56993794067613</v>
      </c>
      <c r="N35" s="177" t="n">
        <f aca="false">N$3*$E35</f>
        <v>7.77542341113138</v>
      </c>
      <c r="O35" s="177" t="n">
        <f aca="false">O$3*$E35</f>
        <v>8.08868377198711</v>
      </c>
      <c r="P35" s="177" t="n">
        <f aca="false">P$3*$E35</f>
        <v>8.54560505320663</v>
      </c>
      <c r="Q35" s="177" t="n">
        <f aca="false">Q$3*$E35</f>
        <v>9.17087123405035</v>
      </c>
      <c r="R35" s="177" t="n">
        <f aca="false">R$3*$E35</f>
        <v>9.95573781457625</v>
      </c>
      <c r="S35" s="177" t="n">
        <f aca="false">S$3*$E35</f>
        <v>10.84077375</v>
      </c>
      <c r="T35" s="177" t="n">
        <f aca="false">T$3*$E35</f>
        <v>11.7258096854237</v>
      </c>
      <c r="U35" s="177" t="n">
        <f aca="false">U$3*$E35</f>
        <v>12.5106762659496</v>
      </c>
      <c r="V35" s="177" t="n">
        <f aca="false">V$3*$E35</f>
        <v>13.1359424467934</v>
      </c>
      <c r="W35" s="177" t="n">
        <f aca="false">W$3*$E35</f>
        <v>13.5928637280129</v>
      </c>
      <c r="X35" s="177" t="n">
        <f aca="false">X$3*$E35</f>
        <v>13.9061240888686</v>
      </c>
      <c r="Y35" s="177" t="n">
        <f aca="false">Y$3*$E35</f>
        <v>14.1116095593239</v>
      </c>
      <c r="Z35" s="177" t="n">
        <f aca="false">Z$3*$E35</f>
        <v>14.2425201588778</v>
      </c>
      <c r="AA35" s="177" t="n">
        <f aca="false">AA$3*$E35</f>
        <v>14.3243753781206</v>
      </c>
      <c r="AB35" s="177" t="n">
        <f aca="false">AB$3*$E35</f>
        <v>14.3749603604917</v>
      </c>
      <c r="AC35" s="177" t="n">
        <f aca="false">AC$3*$E35</f>
        <v>14.4059945449249</v>
      </c>
      <c r="AD35" s="219" t="n">
        <f aca="false">Algae_electricity_factor/H35</f>
        <v>0.0019016535286786</v>
      </c>
      <c r="AE35" s="220" t="n">
        <f aca="false">Algae_electricity_factor/I35</f>
        <v>0.0019016535286786</v>
      </c>
      <c r="AF35" s="220" t="n">
        <f aca="false">Algae_electricity_factor/J35</f>
        <v>0.0019016535286786</v>
      </c>
      <c r="AG35" s="220" t="n">
        <f aca="false">Algae_electricity_factor/K35</f>
        <v>0.0019016535286786</v>
      </c>
      <c r="AH35" s="220" t="n">
        <f aca="false">Algae_electricity_factor/L35</f>
        <v>0.0019016535286786</v>
      </c>
      <c r="AI35" s="220" t="n">
        <f aca="false">Algae_electricity_factor/M35</f>
        <v>0.00181554950796621</v>
      </c>
      <c r="AJ35" s="220" t="n">
        <f aca="false">Algae_electricity_factor/N35</f>
        <v>0.001767568964007</v>
      </c>
      <c r="AK35" s="220" t="n">
        <f aca="false">Algae_electricity_factor/O35</f>
        <v>0.00169911415638801</v>
      </c>
      <c r="AL35" s="220" t="n">
        <f aca="false">Algae_electricity_factor/P35</f>
        <v>0.00160826495233034</v>
      </c>
      <c r="AM35" s="220" t="n">
        <f aca="false">Algae_electricity_factor/Q35</f>
        <v>0.00149861411776243</v>
      </c>
      <c r="AN35" s="220" t="n">
        <f aca="false">Algae_electricity_factor/R35</f>
        <v>0.00138046997214081</v>
      </c>
      <c r="AO35" s="220" t="n">
        <f aca="false">Algae_electricity_factor/S35</f>
        <v>0.00126776901911907</v>
      </c>
      <c r="AP35" s="220" t="n">
        <f aca="false">Algae_electricity_factor/T35</f>
        <v>0.00117208086027644</v>
      </c>
      <c r="AQ35" s="220" t="n">
        <f aca="false">Algae_electricity_factor/U35</f>
        <v>0.0010985494957563</v>
      </c>
      <c r="AR35" s="220" t="n">
        <f aca="false">Algae_electricity_factor/V35</f>
        <v>0.00104625893111188</v>
      </c>
      <c r="AS35" s="220" t="n">
        <f aca="false">Algae_electricity_factor/W35</f>
        <v>0.00101108915520176</v>
      </c>
      <c r="AT35" s="220" t="n">
        <f aca="false">Algae_electricity_factor/X35</f>
        <v>0.000988312560401395</v>
      </c>
      <c r="AU35" s="220" t="n">
        <f aca="false">Algae_electricity_factor/Y35</f>
        <v>0.000973921298329045</v>
      </c>
      <c r="AV35" s="220" t="n">
        <f aca="false">Algae_electricity_factor/Z35</f>
        <v>0.000964969468199237</v>
      </c>
      <c r="AW35" s="220" t="n">
        <f aca="false">Algae_electricity_factor/AA35</f>
        <v>0.000959455246092023</v>
      </c>
      <c r="AX35" s="220" t="n">
        <f aca="false">Algae_electricity_factor/AB35</f>
        <v>0.000956078956662888</v>
      </c>
      <c r="AY35" s="220" t="n">
        <f aca="false">Algae_electricity_factor/AC35</f>
        <v>0.000954019318879376</v>
      </c>
      <c r="AZ35" s="221" t="n">
        <f aca="false">Algae_yield_cost_factor/H35</f>
        <v>0.105275135820386</v>
      </c>
      <c r="BA35" s="197" t="n">
        <f aca="false">Algae_yield_cost_factor/I35</f>
        <v>0.105275135820386</v>
      </c>
      <c r="BB35" s="197" t="n">
        <f aca="false">Algae_yield_cost_factor/J35</f>
        <v>0.105275135820386</v>
      </c>
      <c r="BC35" s="197" t="n">
        <f aca="false">Algae_yield_cost_factor/K35</f>
        <v>0.105275135820386</v>
      </c>
      <c r="BD35" s="197" t="n">
        <f aca="false">Algae_yield_cost_factor/L35</f>
        <v>0.105275135820386</v>
      </c>
      <c r="BE35" s="197" t="n">
        <f aca="false">Algae_yield_cost_factor/M35</f>
        <v>0.100508435504857</v>
      </c>
      <c r="BF35" s="197" t="n">
        <f aca="false">Algae_yield_cost_factor/N35</f>
        <v>0.0978522427726556</v>
      </c>
      <c r="BG35" s="197" t="n">
        <f aca="false">Algae_yield_cost_factor/O35</f>
        <v>0.0940625991488483</v>
      </c>
      <c r="BH35" s="197" t="n">
        <f aca="false">Algae_yield_cost_factor/P35</f>
        <v>0.0890332064902439</v>
      </c>
      <c r="BI35" s="197" t="n">
        <f aca="false">Algae_yield_cost_factor/Q35</f>
        <v>0.0829629595562633</v>
      </c>
      <c r="BJ35" s="197" t="n">
        <f aca="false">Algae_yield_cost_factor/R35</f>
        <v>0.0764225247246129</v>
      </c>
      <c r="BK35" s="197" t="n">
        <f aca="false">Algae_yield_cost_factor/S35</f>
        <v>0.0701834238802574</v>
      </c>
      <c r="BL35" s="197" t="n">
        <f aca="false">Algae_yield_cost_factor/T35</f>
        <v>0.0648861477115746</v>
      </c>
      <c r="BM35" s="197" t="n">
        <f aca="false">Algae_yield_cost_factor/U35</f>
        <v>0.0608154669749553</v>
      </c>
      <c r="BN35" s="197" t="n">
        <f aca="false">Algae_yield_cost_factor/V35</f>
        <v>0.057920672412199</v>
      </c>
      <c r="BO35" s="197" t="n">
        <f aca="false">Algae_yield_cost_factor/W35</f>
        <v>0.0559736810807743</v>
      </c>
      <c r="BP35" s="197" t="n">
        <f aca="false">Algae_yield_cost_factor/X35</f>
        <v>0.0547127736257759</v>
      </c>
      <c r="BQ35" s="197" t="n">
        <f aca="false">Algae_yield_cost_factor/Y35</f>
        <v>0.053916076411249</v>
      </c>
      <c r="BR35" s="197" t="n">
        <f aca="false">Algae_yield_cost_factor/Z35</f>
        <v>0.0534205049948242</v>
      </c>
      <c r="BS35" s="197" t="n">
        <f aca="false">Algae_yield_cost_factor/AA35</f>
        <v>0.0531152388290763</v>
      </c>
      <c r="BT35" s="197" t="n">
        <f aca="false">Algae_yield_cost_factor/AB35</f>
        <v>0.0529283281627216</v>
      </c>
      <c r="BU35" s="197" t="n">
        <f aca="false">Algae_yield_cost_factor/AC35</f>
        <v>0.0528143070520776</v>
      </c>
    </row>
    <row r="36" customFormat="false" ht="15" hidden="false" customHeight="false" outlineLevel="0" collapsed="false">
      <c r="A36" s="18" t="s">
        <v>696</v>
      </c>
      <c r="B36" s="18" t="s">
        <v>22</v>
      </c>
      <c r="C36" s="18" t="s">
        <v>694</v>
      </c>
      <c r="D36" s="18" t="s">
        <v>694</v>
      </c>
      <c r="E36" s="28" t="n">
        <v>6.92332</v>
      </c>
      <c r="F36" s="185" t="n">
        <f aca="false">E36/$B$2*$F$3/1000</f>
        <v>0.016962134</v>
      </c>
      <c r="G36" s="18" t="n">
        <f aca="false">LOOKUP(RIGHT(D36,5),Ref!$C$4:$C$21,Ref!$E$4:$E$21)*$G$3</f>
        <v>3</v>
      </c>
      <c r="H36" s="218" t="n">
        <f aca="false">$E36</f>
        <v>6.92332</v>
      </c>
      <c r="I36" s="177" t="n">
        <f aca="false">$E36</f>
        <v>6.92332</v>
      </c>
      <c r="J36" s="177" t="n">
        <f aca="false">$E36</f>
        <v>6.92332</v>
      </c>
      <c r="K36" s="177" t="n">
        <f aca="false">$E36</f>
        <v>6.92332</v>
      </c>
      <c r="L36" s="177" t="n">
        <f aca="false">$E36</f>
        <v>6.92332</v>
      </c>
      <c r="M36" s="177" t="n">
        <f aca="false">M$3*$E36</f>
        <v>7.25166449628771</v>
      </c>
      <c r="N36" s="177" t="n">
        <f aca="false">N$3*$E36</f>
        <v>7.44851045490468</v>
      </c>
      <c r="O36" s="177" t="n">
        <f aca="false">O$3*$E36</f>
        <v>7.74859997409417</v>
      </c>
      <c r="P36" s="177" t="n">
        <f aca="false">P$3*$E36</f>
        <v>8.18631027747902</v>
      </c>
      <c r="Q36" s="177" t="n">
        <f aca="false">Q$3*$E36</f>
        <v>8.78528752139932</v>
      </c>
      <c r="R36" s="177" t="n">
        <f aca="false">R$3*$E36</f>
        <v>9.53715486310358</v>
      </c>
      <c r="S36" s="177" t="n">
        <f aca="false">S$3*$E36</f>
        <v>10.38498</v>
      </c>
      <c r="T36" s="177" t="n">
        <f aca="false">T$3*$E36</f>
        <v>11.2328051368964</v>
      </c>
      <c r="U36" s="177" t="n">
        <f aca="false">U$3*$E36</f>
        <v>11.9846724786007</v>
      </c>
      <c r="V36" s="177" t="n">
        <f aca="false">V$3*$E36</f>
        <v>12.583649722521</v>
      </c>
      <c r="W36" s="177" t="n">
        <f aca="false">W$3*$E36</f>
        <v>13.0213600259058</v>
      </c>
      <c r="X36" s="177" t="n">
        <f aca="false">X$3*$E36</f>
        <v>13.3214495450953</v>
      </c>
      <c r="Y36" s="177" t="n">
        <f aca="false">Y$3*$E36</f>
        <v>13.5182955037123</v>
      </c>
      <c r="Z36" s="177" t="n">
        <f aca="false">Z$3*$E36</f>
        <v>13.6437020465945</v>
      </c>
      <c r="AA36" s="177" t="n">
        <f aca="false">AA$3*$E36</f>
        <v>13.7221157128453</v>
      </c>
      <c r="AB36" s="177" t="n">
        <f aca="false">AB$3*$E36</f>
        <v>13.7705738803468</v>
      </c>
      <c r="AC36" s="177" t="n">
        <f aca="false">AC$3*$E36</f>
        <v>13.8003032513389</v>
      </c>
      <c r="AD36" s="219" t="n">
        <f aca="false">Algae_electricity_factor/H36</f>
        <v>0.00198511654863985</v>
      </c>
      <c r="AE36" s="220" t="n">
        <f aca="false">Algae_electricity_factor/I36</f>
        <v>0.00198511654863985</v>
      </c>
      <c r="AF36" s="220" t="n">
        <f aca="false">Algae_electricity_factor/J36</f>
        <v>0.00198511654863985</v>
      </c>
      <c r="AG36" s="220" t="n">
        <f aca="false">Algae_electricity_factor/K36</f>
        <v>0.00198511654863985</v>
      </c>
      <c r="AH36" s="220" t="n">
        <f aca="false">Algae_electricity_factor/L36</f>
        <v>0.00198511654863985</v>
      </c>
      <c r="AI36" s="220" t="n">
        <f aca="false">Algae_electricity_factor/M36</f>
        <v>0.00189523344751607</v>
      </c>
      <c r="AJ36" s="220" t="n">
        <f aca="false">Algae_electricity_factor/N36</f>
        <v>0.00184514705144562</v>
      </c>
      <c r="AK36" s="220" t="n">
        <f aca="false">Algae_electricity_factor/O36</f>
        <v>0.00177368778224171</v>
      </c>
      <c r="AL36" s="220" t="n">
        <f aca="false">Algae_electricity_factor/P36</f>
        <v>0.00167885123305656</v>
      </c>
      <c r="AM36" s="220" t="n">
        <f aca="false">Algae_electricity_factor/Q36</f>
        <v>0.00156438785526967</v>
      </c>
      <c r="AN36" s="220" t="n">
        <f aca="false">Algae_electricity_factor/R36</f>
        <v>0.0014410583974786</v>
      </c>
      <c r="AO36" s="220" t="n">
        <f aca="false">Algae_electricity_factor/S36</f>
        <v>0.00132341103242657</v>
      </c>
      <c r="AP36" s="220" t="n">
        <f aca="false">Algae_electricity_factor/T36</f>
        <v>0.00122352314813916</v>
      </c>
      <c r="AQ36" s="220" t="n">
        <f aca="false">Algae_electricity_factor/U36</f>
        <v>0.00114676451342907</v>
      </c>
      <c r="AR36" s="220" t="n">
        <f aca="false">Algae_electricity_factor/V36</f>
        <v>0.00109217893111983</v>
      </c>
      <c r="AS36" s="220" t="n">
        <f aca="false">Algae_electricity_factor/W36</f>
        <v>0.00105546556397999</v>
      </c>
      <c r="AT36" s="220" t="n">
        <f aca="false">Algae_electricity_factor/X36</f>
        <v>0.0010316893110622</v>
      </c>
      <c r="AU36" s="220" t="n">
        <f aca="false">Algae_electricity_factor/Y36</f>
        <v>0.00101666642068559</v>
      </c>
      <c r="AV36" s="220" t="n">
        <f aca="false">Algae_electricity_factor/Z36</f>
        <v>0.00100732169733651</v>
      </c>
      <c r="AW36" s="220" t="n">
        <f aca="false">Algae_electricity_factor/AA36</f>
        <v>0.00100156545762574</v>
      </c>
      <c r="AX36" s="220" t="n">
        <f aca="false">Algae_electricity_factor/AB36</f>
        <v>0.00099804098383612</v>
      </c>
      <c r="AY36" s="220" t="n">
        <f aca="false">Algae_electricity_factor/AC36</f>
        <v>0.000995890949149678</v>
      </c>
      <c r="AZ36" s="221" t="n">
        <f aca="false">Algae_yield_cost_factor/H36</f>
        <v>0.109895630894747</v>
      </c>
      <c r="BA36" s="197" t="n">
        <f aca="false">Algae_yield_cost_factor/I36</f>
        <v>0.109895630894747</v>
      </c>
      <c r="BB36" s="197" t="n">
        <f aca="false">Algae_yield_cost_factor/J36</f>
        <v>0.109895630894747</v>
      </c>
      <c r="BC36" s="197" t="n">
        <f aca="false">Algae_yield_cost_factor/K36</f>
        <v>0.109895630894747</v>
      </c>
      <c r="BD36" s="197" t="n">
        <f aca="false">Algae_yield_cost_factor/L36</f>
        <v>0.109895630894747</v>
      </c>
      <c r="BE36" s="197" t="n">
        <f aca="false">Algae_yield_cost_factor/M36</f>
        <v>0.104919721489557</v>
      </c>
      <c r="BF36" s="197" t="n">
        <f aca="false">Algae_yield_cost_factor/N36</f>
        <v>0.102146949231335</v>
      </c>
      <c r="BG36" s="197" t="n">
        <f aca="false">Algae_yield_cost_factor/O36</f>
        <v>0.0981909792517276</v>
      </c>
      <c r="BH36" s="197" t="n">
        <f aca="false">Algae_yield_cost_factor/P36</f>
        <v>0.0929408480129731</v>
      </c>
      <c r="BI36" s="197" t="n">
        <f aca="false">Algae_yield_cost_factor/Q36</f>
        <v>0.0866041797076018</v>
      </c>
      <c r="BJ36" s="197" t="n">
        <f aca="false">Algae_yield_cost_factor/R36</f>
        <v>0.0797766870945645</v>
      </c>
      <c r="BK36" s="197" t="n">
        <f aca="false">Algae_yield_cost_factor/S36</f>
        <v>0.0732637539298311</v>
      </c>
      <c r="BL36" s="197" t="n">
        <f aca="false">Algae_yield_cost_factor/T36</f>
        <v>0.0677339818516994</v>
      </c>
      <c r="BM36" s="197" t="n">
        <f aca="false">Algae_yield_cost_factor/U36</f>
        <v>0.0634846401221849</v>
      </c>
      <c r="BN36" s="197" t="n">
        <f aca="false">Algae_yield_cost_factor/V36</f>
        <v>0.060462793868502</v>
      </c>
      <c r="BO36" s="197" t="n">
        <f aca="false">Algae_yield_cost_factor/W36</f>
        <v>0.0584303496541476</v>
      </c>
      <c r="BP36" s="197" t="n">
        <f aca="false">Algae_yield_cost_factor/X36</f>
        <v>0.0571141013378941</v>
      </c>
      <c r="BQ36" s="197" t="n">
        <f aca="false">Algae_yield_cost_factor/Y36</f>
        <v>0.0562824373144736</v>
      </c>
      <c r="BR36" s="197" t="n">
        <f aca="false">Algae_yield_cost_factor/Z36</f>
        <v>0.0557651154128014</v>
      </c>
      <c r="BS36" s="197" t="n">
        <f aca="false">Algae_yield_cost_factor/AA36</f>
        <v>0.0554464512038762</v>
      </c>
      <c r="BT36" s="197" t="n">
        <f aca="false">Algae_yield_cost_factor/AB36</f>
        <v>0.0552513370827693</v>
      </c>
      <c r="BU36" s="197" t="n">
        <f aca="false">Algae_yield_cost_factor/AC36</f>
        <v>0.0551323116187611</v>
      </c>
    </row>
    <row r="37" customFormat="false" ht="15" hidden="false" customHeight="false" outlineLevel="0" collapsed="false">
      <c r="A37" s="18" t="s">
        <v>696</v>
      </c>
      <c r="B37" s="18" t="s">
        <v>22</v>
      </c>
      <c r="C37" s="18" t="s">
        <v>682</v>
      </c>
      <c r="D37" s="18" t="s">
        <v>682</v>
      </c>
      <c r="E37" s="28" t="n">
        <v>6.932445</v>
      </c>
      <c r="F37" s="185" t="n">
        <f aca="false">E37/$B$2*$F$3/1000</f>
        <v>0.01698449025</v>
      </c>
      <c r="G37" s="18" t="n">
        <f aca="false">LOOKUP(RIGHT(D37,5),Ref!$C$4:$C$21,Ref!$E$4:$E$21)*$G$3</f>
        <v>3</v>
      </c>
      <c r="H37" s="218" t="n">
        <f aca="false">$E37</f>
        <v>6.932445</v>
      </c>
      <c r="I37" s="177" t="n">
        <f aca="false">$E37</f>
        <v>6.932445</v>
      </c>
      <c r="J37" s="177" t="n">
        <f aca="false">$E37</f>
        <v>6.932445</v>
      </c>
      <c r="K37" s="177" t="n">
        <f aca="false">$E37</f>
        <v>6.932445</v>
      </c>
      <c r="L37" s="177" t="n">
        <f aca="false">$E37</f>
        <v>6.932445</v>
      </c>
      <c r="M37" s="177" t="n">
        <f aca="false">M$3*$E37</f>
        <v>7.26122225738046</v>
      </c>
      <c r="N37" s="177" t="n">
        <f aca="false">N$3*$E37</f>
        <v>7.45832766079737</v>
      </c>
      <c r="O37" s="177" t="n">
        <f aca="false">O$3*$E37</f>
        <v>7.75881270075762</v>
      </c>
      <c r="P37" s="177" t="n">
        <f aca="false">P$3*$E37</f>
        <v>8.19709991038376</v>
      </c>
      <c r="Q37" s="177" t="n">
        <f aca="false">Q$3*$E37</f>
        <v>8.79686661186932</v>
      </c>
      <c r="R37" s="177" t="n">
        <f aca="false">R$3*$E37</f>
        <v>9.54972492170636</v>
      </c>
      <c r="S37" s="177" t="n">
        <f aca="false">S$3*$E37</f>
        <v>10.3986675</v>
      </c>
      <c r="T37" s="177" t="n">
        <f aca="false">T$3*$E37</f>
        <v>11.2476100782936</v>
      </c>
      <c r="U37" s="177" t="n">
        <f aca="false">U$3*$E37</f>
        <v>12.0004683881307</v>
      </c>
      <c r="V37" s="177" t="n">
        <f aca="false">V$3*$E37</f>
        <v>12.6002350896162</v>
      </c>
      <c r="W37" s="177" t="n">
        <f aca="false">W$3*$E37</f>
        <v>13.0385222992424</v>
      </c>
      <c r="X37" s="177" t="n">
        <f aca="false">X$3*$E37</f>
        <v>13.3390073392026</v>
      </c>
      <c r="Y37" s="177" t="n">
        <f aca="false">Y$3*$E37</f>
        <v>13.5361127426195</v>
      </c>
      <c r="Z37" s="177" t="n">
        <f aca="false">Z$3*$E37</f>
        <v>13.6616845724889</v>
      </c>
      <c r="AA37" s="177" t="n">
        <f aca="false">AA$3*$E37</f>
        <v>13.7402015886794</v>
      </c>
      <c r="AB37" s="177" t="n">
        <f aca="false">AB$3*$E37</f>
        <v>13.7887236244953</v>
      </c>
      <c r="AC37" s="177" t="n">
        <f aca="false">AC$3*$E37</f>
        <v>13.8184921790742</v>
      </c>
      <c r="AD37" s="219" t="n">
        <f aca="false">Algae_electricity_factor/H37</f>
        <v>0.00198250359051233</v>
      </c>
      <c r="AE37" s="220" t="n">
        <f aca="false">Algae_electricity_factor/I37</f>
        <v>0.00198250359051233</v>
      </c>
      <c r="AF37" s="220" t="n">
        <f aca="false">Algae_electricity_factor/J37</f>
        <v>0.00198250359051233</v>
      </c>
      <c r="AG37" s="220" t="n">
        <f aca="false">Algae_electricity_factor/K37</f>
        <v>0.00198250359051233</v>
      </c>
      <c r="AH37" s="220" t="n">
        <f aca="false">Algae_electricity_factor/L37</f>
        <v>0.00198250359051233</v>
      </c>
      <c r="AI37" s="220" t="n">
        <f aca="false">Algae_electricity_factor/M37</f>
        <v>0.00189273880021507</v>
      </c>
      <c r="AJ37" s="220" t="n">
        <f aca="false">Algae_electricity_factor/N37</f>
        <v>0.0018427183315864</v>
      </c>
      <c r="AK37" s="220" t="n">
        <f aca="false">Algae_electricity_factor/O37</f>
        <v>0.00177135312239039</v>
      </c>
      <c r="AL37" s="220" t="n">
        <f aca="false">Algae_electricity_factor/P37</f>
        <v>0.00167664140412872</v>
      </c>
      <c r="AM37" s="220" t="n">
        <f aca="false">Algae_electricity_factor/Q37</f>
        <v>0.00156232869155768</v>
      </c>
      <c r="AN37" s="220" t="n">
        <f aca="false">Algae_electricity_factor/R37</f>
        <v>0.00143916156917675</v>
      </c>
      <c r="AO37" s="220" t="n">
        <f aca="false">Algae_electricity_factor/S37</f>
        <v>0.00132166906034155</v>
      </c>
      <c r="AP37" s="220" t="n">
        <f aca="false">Algae_electricity_factor/T37</f>
        <v>0.00122191265592079</v>
      </c>
      <c r="AQ37" s="220" t="n">
        <f aca="false">Algae_electricity_factor/U37</f>
        <v>0.00114525505663784</v>
      </c>
      <c r="AR37" s="220" t="n">
        <f aca="false">Algae_electricity_factor/V37</f>
        <v>0.00109074132393413</v>
      </c>
      <c r="AS37" s="220" t="n">
        <f aca="false">Algae_electricity_factor/W37</f>
        <v>0.00105407628166022</v>
      </c>
      <c r="AT37" s="220" t="n">
        <f aca="false">Algae_electricity_factor/X37</f>
        <v>0.00103033132481587</v>
      </c>
      <c r="AU37" s="220" t="n">
        <f aca="false">Algae_electricity_factor/Y37</f>
        <v>0.00101532820868553</v>
      </c>
      <c r="AV37" s="220" t="n">
        <f aca="false">Algae_electricity_factor/Z37</f>
        <v>0.00100599578555673</v>
      </c>
      <c r="AW37" s="220" t="n">
        <f aca="false">Algae_electricity_factor/AA37</f>
        <v>0.00100024712263703</v>
      </c>
      <c r="AX37" s="220" t="n">
        <f aca="false">Algae_electricity_factor/AB37</f>
        <v>0.000996727288022088</v>
      </c>
      <c r="AY37" s="220" t="n">
        <f aca="false">Algae_electricity_factor/AC37</f>
        <v>0.000994580083371299</v>
      </c>
      <c r="AZ37" s="221" t="n">
        <f aca="false">Algae_yield_cost_factor/H37</f>
        <v>0.109750978087272</v>
      </c>
      <c r="BA37" s="197" t="n">
        <f aca="false">Algae_yield_cost_factor/I37</f>
        <v>0.109750978087272</v>
      </c>
      <c r="BB37" s="197" t="n">
        <f aca="false">Algae_yield_cost_factor/J37</f>
        <v>0.109750978087272</v>
      </c>
      <c r="BC37" s="197" t="n">
        <f aca="false">Algae_yield_cost_factor/K37</f>
        <v>0.109750978087272</v>
      </c>
      <c r="BD37" s="197" t="n">
        <f aca="false">Algae_yield_cost_factor/L37</f>
        <v>0.109750978087272</v>
      </c>
      <c r="BE37" s="197" t="n">
        <f aca="false">Algae_yield_cost_factor/M37</f>
        <v>0.104781618344333</v>
      </c>
      <c r="BF37" s="197" t="n">
        <f aca="false">Algae_yield_cost_factor/N37</f>
        <v>0.102012495815299</v>
      </c>
      <c r="BG37" s="197" t="n">
        <f aca="false">Algae_yield_cost_factor/O37</f>
        <v>0.0980617329777692</v>
      </c>
      <c r="BH37" s="197" t="n">
        <f aca="false">Algae_yield_cost_factor/P37</f>
        <v>0.0928185123524495</v>
      </c>
      <c r="BI37" s="197" t="n">
        <f aca="false">Algae_yield_cost_factor/Q37</f>
        <v>0.0864901848414569</v>
      </c>
      <c r="BJ37" s="197" t="n">
        <f aca="false">Algae_yield_cost_factor/R37</f>
        <v>0.0796716790822776</v>
      </c>
      <c r="BK37" s="197" t="n">
        <f aca="false">Algae_yield_cost_factor/S37</f>
        <v>0.0731673187248479</v>
      </c>
      <c r="BL37" s="197" t="n">
        <f aca="false">Algae_yield_cost_factor/T37</f>
        <v>0.0676448253442339</v>
      </c>
      <c r="BM37" s="197" t="n">
        <f aca="false">Algae_yield_cost_factor/U37</f>
        <v>0.0634010769145265</v>
      </c>
      <c r="BN37" s="197" t="n">
        <f aca="false">Algae_yield_cost_factor/V37</f>
        <v>0.0603832082397591</v>
      </c>
      <c r="BO37" s="197" t="n">
        <f aca="false">Algae_yield_cost_factor/W37</f>
        <v>0.0583534392797279</v>
      </c>
      <c r="BP37" s="197" t="n">
        <f aca="false">Algae_yield_cost_factor/X37</f>
        <v>0.0570389235074594</v>
      </c>
      <c r="BQ37" s="197" t="n">
        <f aca="false">Algae_yield_cost_factor/Y37</f>
        <v>0.0562083541821164</v>
      </c>
      <c r="BR37" s="197" t="n">
        <f aca="false">Algae_yield_cost_factor/Z37</f>
        <v>0.0556917132180286</v>
      </c>
      <c r="BS37" s="197" t="n">
        <f aca="false">Algae_yield_cost_factor/AA37</f>
        <v>0.0553734684586492</v>
      </c>
      <c r="BT37" s="197" t="n">
        <f aca="false">Algae_yield_cost_factor/AB37</f>
        <v>0.0551786111612683</v>
      </c>
      <c r="BU37" s="197" t="n">
        <f aca="false">Algae_yield_cost_factor/AC37</f>
        <v>0.0550597423674333</v>
      </c>
    </row>
    <row r="38" customFormat="false" ht="15" hidden="false" customHeight="false" outlineLevel="0" collapsed="false">
      <c r="A38" s="18" t="s">
        <v>696</v>
      </c>
      <c r="B38" s="18" t="s">
        <v>22</v>
      </c>
      <c r="C38" s="18" t="s">
        <v>683</v>
      </c>
      <c r="D38" s="18" t="s">
        <v>683</v>
      </c>
      <c r="E38" s="28" t="n">
        <v>7.002525</v>
      </c>
      <c r="F38" s="185" t="n">
        <f aca="false">E38/$B$2*$F$3/1000</f>
        <v>0.01715618625</v>
      </c>
      <c r="G38" s="18" t="n">
        <f aca="false">LOOKUP(RIGHT(D38,5),Ref!$C$4:$C$21,Ref!$E$4:$E$21)*$G$3</f>
        <v>3</v>
      </c>
      <c r="H38" s="218" t="n">
        <f aca="false">$E38</f>
        <v>7.002525</v>
      </c>
      <c r="I38" s="177" t="n">
        <f aca="false">$E38</f>
        <v>7.002525</v>
      </c>
      <c r="J38" s="177" t="n">
        <f aca="false">$E38</f>
        <v>7.002525</v>
      </c>
      <c r="K38" s="177" t="n">
        <f aca="false">$E38</f>
        <v>7.002525</v>
      </c>
      <c r="L38" s="177" t="n">
        <f aca="false">$E38</f>
        <v>7.002525</v>
      </c>
      <c r="M38" s="177" t="n">
        <f aca="false">M$3*$E38</f>
        <v>7.33462586257274</v>
      </c>
      <c r="N38" s="177" t="n">
        <f aca="false">N$3*$E38</f>
        <v>7.53372380205326</v>
      </c>
      <c r="O38" s="177" t="n">
        <f aca="false">O$3*$E38</f>
        <v>7.83724644153293</v>
      </c>
      <c r="P38" s="177" t="n">
        <f aca="false">P$3*$E38</f>
        <v>8.27996429109211</v>
      </c>
      <c r="Q38" s="177" t="n">
        <f aca="false">Q$3*$E38</f>
        <v>8.88579402667893</v>
      </c>
      <c r="R38" s="177" t="n">
        <f aca="false">R$3*$E38</f>
        <v>9.64626297177573</v>
      </c>
      <c r="S38" s="177" t="n">
        <f aca="false">S$3*$E38</f>
        <v>10.5037875</v>
      </c>
      <c r="T38" s="177" t="n">
        <f aca="false">T$3*$E38</f>
        <v>11.3613120282243</v>
      </c>
      <c r="U38" s="177" t="n">
        <f aca="false">U$3*$E38</f>
        <v>12.1217809733211</v>
      </c>
      <c r="V38" s="177" t="n">
        <f aca="false">V$3*$E38</f>
        <v>12.7276107089079</v>
      </c>
      <c r="W38" s="177" t="n">
        <f aca="false">W$3*$E38</f>
        <v>13.1703285584671</v>
      </c>
      <c r="X38" s="177" t="n">
        <f aca="false">X$3*$E38</f>
        <v>13.4738511979467</v>
      </c>
      <c r="Y38" s="177" t="n">
        <f aca="false">Y$3*$E38</f>
        <v>13.6729491374273</v>
      </c>
      <c r="Z38" s="177" t="n">
        <f aca="false">Z$3*$E38</f>
        <v>13.7997903713579</v>
      </c>
      <c r="AA38" s="177" t="n">
        <f aca="false">AA$3*$E38</f>
        <v>13.8791011150852</v>
      </c>
      <c r="AB38" s="177" t="n">
        <f aca="false">AB$3*$E38</f>
        <v>13.9281136595557</v>
      </c>
      <c r="AC38" s="177" t="n">
        <f aca="false">AC$3*$E38</f>
        <v>13.9581831440814</v>
      </c>
      <c r="AD38" s="219" t="n">
        <f aca="false">Algae_electricity_factor/H38</f>
        <v>0.0019626630541882</v>
      </c>
      <c r="AE38" s="220" t="n">
        <f aca="false">Algae_electricity_factor/I38</f>
        <v>0.0019626630541882</v>
      </c>
      <c r="AF38" s="220" t="n">
        <f aca="false">Algae_electricity_factor/J38</f>
        <v>0.0019626630541882</v>
      </c>
      <c r="AG38" s="220" t="n">
        <f aca="false">Algae_electricity_factor/K38</f>
        <v>0.0019626630541882</v>
      </c>
      <c r="AH38" s="220" t="n">
        <f aca="false">Algae_electricity_factor/L38</f>
        <v>0.0019626630541882</v>
      </c>
      <c r="AI38" s="220" t="n">
        <f aca="false">Algae_electricity_factor/M38</f>
        <v>0.00187379661362965</v>
      </c>
      <c r="AJ38" s="220" t="n">
        <f aca="false">Algae_electricity_factor/N38</f>
        <v>0.00182427674077772</v>
      </c>
      <c r="AK38" s="220" t="n">
        <f aca="false">Algae_electricity_factor/O38</f>
        <v>0.00175362574165029</v>
      </c>
      <c r="AL38" s="220" t="n">
        <f aca="false">Algae_electricity_factor/P38</f>
        <v>0.00165986188108506</v>
      </c>
      <c r="AM38" s="220" t="n">
        <f aca="false">Algae_electricity_factor/Q38</f>
        <v>0.00154669318940605</v>
      </c>
      <c r="AN38" s="220" t="n">
        <f aca="false">Algae_electricity_factor/R38</f>
        <v>0.00142475870124441</v>
      </c>
      <c r="AO38" s="220" t="n">
        <f aca="false">Algae_electricity_factor/S38</f>
        <v>0.00130844203612547</v>
      </c>
      <c r="AP38" s="220" t="n">
        <f aca="false">Algae_electricity_factor/T38</f>
        <v>0.00120968397570517</v>
      </c>
      <c r="AQ38" s="220" t="n">
        <f aca="false">Algae_electricity_factor/U38</f>
        <v>0.00113379355177079</v>
      </c>
      <c r="AR38" s="220" t="n">
        <f aca="false">Algae_electricity_factor/V38</f>
        <v>0.00107982538261563</v>
      </c>
      <c r="AS38" s="220" t="n">
        <f aca="false">Algae_electricity_factor/W38</f>
        <v>0.00104352727743407</v>
      </c>
      <c r="AT38" s="220" t="n">
        <f aca="false">Algae_electricity_factor/X38</f>
        <v>0.00102001995581068</v>
      </c>
      <c r="AU38" s="220" t="n">
        <f aca="false">Algae_electricity_factor/Y38</f>
        <v>0.00100516698814513</v>
      </c>
      <c r="AV38" s="220" t="n">
        <f aca="false">Algae_electricity_factor/Z38</f>
        <v>0.000995927962214177</v>
      </c>
      <c r="AW38" s="220" t="n">
        <f aca="false">Algae_electricity_factor/AA38</f>
        <v>0.000990236830870216</v>
      </c>
      <c r="AX38" s="220" t="n">
        <f aca="false">Algae_electricity_factor/AB38</f>
        <v>0.000986752222121633</v>
      </c>
      <c r="AY38" s="220" t="n">
        <f aca="false">Algae_electricity_factor/AC38</f>
        <v>0.000984626506305503</v>
      </c>
      <c r="AZ38" s="221" t="n">
        <f aca="false">Algae_yield_cost_factor/H38</f>
        <v>0.108652610206492</v>
      </c>
      <c r="BA38" s="197" t="n">
        <f aca="false">Algae_yield_cost_factor/I38</f>
        <v>0.108652610206492</v>
      </c>
      <c r="BB38" s="197" t="n">
        <f aca="false">Algae_yield_cost_factor/J38</f>
        <v>0.108652610206492</v>
      </c>
      <c r="BC38" s="197" t="n">
        <f aca="false">Algae_yield_cost_factor/K38</f>
        <v>0.108652610206492</v>
      </c>
      <c r="BD38" s="197" t="n">
        <f aca="false">Algae_yield_cost_factor/L38</f>
        <v>0.108652610206492</v>
      </c>
      <c r="BE38" s="197" t="n">
        <f aca="false">Algae_yield_cost_factor/M38</f>
        <v>0.10373298291446</v>
      </c>
      <c r="BF38" s="197" t="n">
        <f aca="false">Algae_yield_cost_factor/N38</f>
        <v>0.1009915732614</v>
      </c>
      <c r="BG38" s="197" t="n">
        <f aca="false">Algae_yield_cost_factor/O38</f>
        <v>0.0970803489417133</v>
      </c>
      <c r="BH38" s="197" t="n">
        <f aca="false">Algae_yield_cost_factor/P38</f>
        <v>0.0918896015173351</v>
      </c>
      <c r="BI38" s="197" t="n">
        <f aca="false">Algae_yield_cost_factor/Q38</f>
        <v>0.0856246067601663</v>
      </c>
      <c r="BJ38" s="197" t="n">
        <f aca="false">Algae_yield_cost_factor/R38</f>
        <v>0.0788743393698045</v>
      </c>
      <c r="BK38" s="197" t="n">
        <f aca="false">Algae_yield_cost_factor/S38</f>
        <v>0.0724350734709949</v>
      </c>
      <c r="BL38" s="197" t="n">
        <f aca="false">Algae_yield_cost_factor/T38</f>
        <v>0.0669678482023995</v>
      </c>
      <c r="BM38" s="197" t="n">
        <f aca="false">Algae_yield_cost_factor/U38</f>
        <v>0.0627665704371959</v>
      </c>
      <c r="BN38" s="197" t="n">
        <f aca="false">Algae_yield_cost_factor/V38</f>
        <v>0.0597789040447092</v>
      </c>
      <c r="BO38" s="197" t="n">
        <f aca="false">Algae_yield_cost_factor/W38</f>
        <v>0.0577694486442466</v>
      </c>
      <c r="BP38" s="197" t="n">
        <f aca="false">Algae_yield_cost_factor/X38</f>
        <v>0.0564680883073847</v>
      </c>
      <c r="BQ38" s="197" t="n">
        <f aca="false">Algae_yield_cost_factor/Y38</f>
        <v>0.0556458311691913</v>
      </c>
      <c r="BR38" s="197" t="n">
        <f aca="false">Algae_yield_cost_factor/Z38</f>
        <v>0.0551343606541577</v>
      </c>
      <c r="BS38" s="197" t="n">
        <f aca="false">Algae_yield_cost_factor/AA38</f>
        <v>0.0548193008306033</v>
      </c>
      <c r="BT38" s="197" t="n">
        <f aca="false">Algae_yield_cost_factor/AB38</f>
        <v>0.0546263936297091</v>
      </c>
      <c r="BU38" s="197" t="n">
        <f aca="false">Algae_yield_cost_factor/AC38</f>
        <v>0.054508714453201</v>
      </c>
    </row>
    <row r="39" customFormat="false" ht="15" hidden="false" customHeight="false" outlineLevel="0" collapsed="false">
      <c r="A39" s="18" t="s">
        <v>696</v>
      </c>
      <c r="B39" s="18" t="s">
        <v>22</v>
      </c>
      <c r="C39" s="18" t="s">
        <v>684</v>
      </c>
      <c r="D39" s="18" t="s">
        <v>684</v>
      </c>
      <c r="E39" s="28" t="n">
        <v>7.208385</v>
      </c>
      <c r="F39" s="185" t="n">
        <f aca="false">E39/$B$2*$F$3/1000</f>
        <v>0.01766054325</v>
      </c>
      <c r="G39" s="18" t="n">
        <f aca="false">LOOKUP(RIGHT(D39,5),Ref!$C$4:$C$21,Ref!$E$4:$E$21)*$G$3</f>
        <v>3.5</v>
      </c>
      <c r="H39" s="218" t="n">
        <f aca="false">$E39</f>
        <v>7.208385</v>
      </c>
      <c r="I39" s="177" t="n">
        <f aca="false">$E39</f>
        <v>7.208385</v>
      </c>
      <c r="J39" s="177" t="n">
        <f aca="false">$E39</f>
        <v>7.208385</v>
      </c>
      <c r="K39" s="177" t="n">
        <f aca="false">$E39</f>
        <v>7.208385</v>
      </c>
      <c r="L39" s="177" t="n">
        <f aca="false">$E39</f>
        <v>7.208385</v>
      </c>
      <c r="M39" s="177" t="n">
        <f aca="false">M$3*$E39</f>
        <v>7.55024895282508</v>
      </c>
      <c r="N39" s="177" t="n">
        <f aca="false">N$3*$E39</f>
        <v>7.75519996699243</v>
      </c>
      <c r="O39" s="177" t="n">
        <f aca="false">O$3*$E39</f>
        <v>8.0676455550604</v>
      </c>
      <c r="P39" s="177" t="n">
        <f aca="false">P$3*$E39</f>
        <v>8.52337840942288</v>
      </c>
      <c r="Q39" s="177" t="n">
        <f aca="false">Q$3*$E39</f>
        <v>9.14701830768215</v>
      </c>
      <c r="R39" s="177" t="n">
        <f aca="false">R$3*$E39</f>
        <v>9.92984349385452</v>
      </c>
      <c r="S39" s="177" t="n">
        <f aca="false">S$3*$E39</f>
        <v>10.8125775</v>
      </c>
      <c r="T39" s="177" t="n">
        <f aca="false">T$3*$E39</f>
        <v>11.6953115061455</v>
      </c>
      <c r="U39" s="177" t="n">
        <f aca="false">U$3*$E39</f>
        <v>12.4781366923178</v>
      </c>
      <c r="V39" s="177" t="n">
        <f aca="false">V$3*$E39</f>
        <v>13.1017765905771</v>
      </c>
      <c r="W39" s="177" t="n">
        <f aca="false">W$3*$E39</f>
        <v>13.5575094449396</v>
      </c>
      <c r="X39" s="177" t="n">
        <f aca="false">X$3*$E39</f>
        <v>13.8699550330076</v>
      </c>
      <c r="Y39" s="177" t="n">
        <f aca="false">Y$3*$E39</f>
        <v>14.0749060471749</v>
      </c>
      <c r="Z39" s="177" t="n">
        <f aca="false">Z$3*$E39</f>
        <v>14.2054761555354</v>
      </c>
      <c r="AA39" s="177" t="n">
        <f aca="false">AA$3*$E39</f>
        <v>14.2871184739024</v>
      </c>
      <c r="AB39" s="177" t="n">
        <f aca="false">AB$3*$E39</f>
        <v>14.3375718875458</v>
      </c>
      <c r="AC39" s="177" t="n">
        <f aca="false">AC$3*$E39</f>
        <v>14.3685253537902</v>
      </c>
      <c r="AD39" s="219" t="n">
        <f aca="false">Algae_electricity_factor/H39</f>
        <v>0.00190661252187962</v>
      </c>
      <c r="AE39" s="220" t="n">
        <f aca="false">Algae_electricity_factor/I39</f>
        <v>0.00190661252187962</v>
      </c>
      <c r="AF39" s="220" t="n">
        <f aca="false">Algae_electricity_factor/J39</f>
        <v>0.00190661252187962</v>
      </c>
      <c r="AG39" s="220" t="n">
        <f aca="false">Algae_electricity_factor/K39</f>
        <v>0.00190661252187962</v>
      </c>
      <c r="AH39" s="220" t="n">
        <f aca="false">Algae_electricity_factor/L39</f>
        <v>0.00190661252187962</v>
      </c>
      <c r="AI39" s="220" t="n">
        <f aca="false">Algae_electricity_factor/M39</f>
        <v>0.00182028396538989</v>
      </c>
      <c r="AJ39" s="220" t="n">
        <f aca="false">Algae_electricity_factor/N39</f>
        <v>0.00177217830127199</v>
      </c>
      <c r="AK39" s="220" t="n">
        <f aca="false">Algae_electricity_factor/O39</f>
        <v>0.00170354498220471</v>
      </c>
      <c r="AL39" s="220" t="n">
        <f aca="false">Algae_electricity_factor/P39</f>
        <v>0.00161245886822709</v>
      </c>
      <c r="AM39" s="220" t="n">
        <f aca="false">Algae_electricity_factor/Q39</f>
        <v>0.00150252209422022</v>
      </c>
      <c r="AN39" s="220" t="n">
        <f aca="false">Algae_electricity_factor/R39</f>
        <v>0.00138406986092329</v>
      </c>
      <c r="AO39" s="220" t="n">
        <f aca="false">Algae_electricity_factor/S39</f>
        <v>0.00127107501458642</v>
      </c>
      <c r="AP39" s="220" t="n">
        <f aca="false">Algae_electricity_factor/T39</f>
        <v>0.00117513732715093</v>
      </c>
      <c r="AQ39" s="220" t="n">
        <f aca="false">Algae_electricity_factor/U39</f>
        <v>0.00110141421290813</v>
      </c>
      <c r="AR39" s="220" t="n">
        <f aca="false">Algae_electricity_factor/V39</f>
        <v>0.00104898728874783</v>
      </c>
      <c r="AS39" s="220" t="n">
        <f aca="false">Algae_electricity_factor/W39</f>
        <v>0.00101372579966442</v>
      </c>
      <c r="AT39" s="220" t="n">
        <f aca="false">Algae_electricity_factor/X39</f>
        <v>0.00099088980972342</v>
      </c>
      <c r="AU39" s="220" t="n">
        <f aca="false">Algae_electricity_factor/Y39</f>
        <v>0.00097646101916878</v>
      </c>
      <c r="AV39" s="220" t="n">
        <f aca="false">Algae_electricity_factor/Z39</f>
        <v>0.000967485845110081</v>
      </c>
      <c r="AW39" s="220" t="n">
        <f aca="false">Algae_electricity_factor/AA39</f>
        <v>0.00096195724341714</v>
      </c>
      <c r="AX39" s="220" t="n">
        <f aca="false">Algae_electricity_factor/AB39</f>
        <v>0.000958572149546991</v>
      </c>
      <c r="AY39" s="220" t="n">
        <f aca="false">Algae_electricity_factor/AC39</f>
        <v>0.000956507140790475</v>
      </c>
      <c r="AZ39" s="221" t="n">
        <f aca="false">Algae_yield_cost_factor/H39</f>
        <v>0.105549664631706</v>
      </c>
      <c r="BA39" s="197" t="n">
        <f aca="false">Algae_yield_cost_factor/I39</f>
        <v>0.105549664631706</v>
      </c>
      <c r="BB39" s="197" t="n">
        <f aca="false">Algae_yield_cost_factor/J39</f>
        <v>0.105549664631706</v>
      </c>
      <c r="BC39" s="197" t="n">
        <f aca="false">Algae_yield_cost_factor/K39</f>
        <v>0.105549664631706</v>
      </c>
      <c r="BD39" s="197" t="n">
        <f aca="false">Algae_yield_cost_factor/L39</f>
        <v>0.105549664631706</v>
      </c>
      <c r="BE39" s="197" t="n">
        <f aca="false">Algae_yield_cost_factor/M39</f>
        <v>0.100770534063189</v>
      </c>
      <c r="BF39" s="197" t="n">
        <f aca="false">Algae_yield_cost_factor/N39</f>
        <v>0.0981074147055531</v>
      </c>
      <c r="BG39" s="197" t="n">
        <f aca="false">Algae_yield_cost_factor/O39</f>
        <v>0.0943078887258479</v>
      </c>
      <c r="BH39" s="197" t="n">
        <f aca="false">Algae_yield_cost_factor/P39</f>
        <v>0.0892653807843473</v>
      </c>
      <c r="BI39" s="197" t="n">
        <f aca="false">Algae_yield_cost_factor/Q39</f>
        <v>0.083179304303701</v>
      </c>
      <c r="BJ39" s="197" t="n">
        <f aca="false">Algae_yield_cost_factor/R39</f>
        <v>0.0766218138037216</v>
      </c>
      <c r="BK39" s="197" t="n">
        <f aca="false">Algae_yield_cost_factor/S39</f>
        <v>0.0703664430878038</v>
      </c>
      <c r="BL39" s="197" t="n">
        <f aca="false">Algae_yield_cost_factor/T39</f>
        <v>0.0650553530691698</v>
      </c>
      <c r="BM39" s="197" t="n">
        <f aca="false">Algae_yield_cost_factor/U39</f>
        <v>0.060974057108593</v>
      </c>
      <c r="BN39" s="197" t="n">
        <f aca="false">Algae_yield_cost_factor/V39</f>
        <v>0.0580717137119725</v>
      </c>
      <c r="BO39" s="197" t="n">
        <f aca="false">Algae_yield_cost_factor/W39</f>
        <v>0.0561196451587357</v>
      </c>
      <c r="BP39" s="197" t="n">
        <f aca="false">Algae_yield_cost_factor/X39</f>
        <v>0.0548554496013558</v>
      </c>
      <c r="BQ39" s="197" t="n">
        <f aca="false">Algae_yield_cost_factor/Y39</f>
        <v>0.0540566748180129</v>
      </c>
      <c r="BR39" s="197" t="n">
        <f aca="false">Algae_yield_cost_factor/Z39</f>
        <v>0.0535598110866381</v>
      </c>
      <c r="BS39" s="197" t="n">
        <f aca="false">Algae_yield_cost_factor/AA39</f>
        <v>0.0532537488700757</v>
      </c>
      <c r="BT39" s="197" t="n">
        <f aca="false">Algae_yield_cost_factor/AB39</f>
        <v>0.0530663507917347</v>
      </c>
      <c r="BU39" s="197" t="n">
        <f aca="false">Algae_yield_cost_factor/AC39</f>
        <v>0.0529520323451649</v>
      </c>
    </row>
    <row r="40" customFormat="false" ht="15" hidden="false" customHeight="false" outlineLevel="0" collapsed="false">
      <c r="A40" s="18" t="s">
        <v>696</v>
      </c>
      <c r="B40" s="18" t="s">
        <v>22</v>
      </c>
      <c r="C40" s="18" t="s">
        <v>685</v>
      </c>
      <c r="D40" s="18" t="s">
        <v>685</v>
      </c>
      <c r="E40" s="28" t="n">
        <v>6.787175</v>
      </c>
      <c r="F40" s="185" t="n">
        <f aca="false">E40/$B$2*$F$3/1000</f>
        <v>0.01662857875</v>
      </c>
      <c r="G40" s="18" t="n">
        <f aca="false">LOOKUP(RIGHT(D40,5),Ref!$C$4:$C$21,Ref!$E$4:$E$21)*$G$3</f>
        <v>4</v>
      </c>
      <c r="H40" s="218" t="n">
        <f aca="false">$E40</f>
        <v>6.787175</v>
      </c>
      <c r="I40" s="177" t="n">
        <f aca="false">$E40</f>
        <v>6.787175</v>
      </c>
      <c r="J40" s="177" t="n">
        <f aca="false">$E40</f>
        <v>6.787175</v>
      </c>
      <c r="K40" s="177" t="n">
        <f aca="false">$E40</f>
        <v>6.787175</v>
      </c>
      <c r="L40" s="177" t="n">
        <f aca="false">$E40</f>
        <v>6.787175</v>
      </c>
      <c r="M40" s="177" t="n">
        <f aca="false">M$3*$E40</f>
        <v>7.10906270078395</v>
      </c>
      <c r="N40" s="177" t="n">
        <f aca="false">N$3*$E40</f>
        <v>7.30203774298568</v>
      </c>
      <c r="O40" s="177" t="n">
        <f aca="false">O$3*$E40</f>
        <v>7.59622609227547</v>
      </c>
      <c r="P40" s="177" t="n">
        <f aca="false">P$3*$E40</f>
        <v>8.02532895454041</v>
      </c>
      <c r="Q40" s="177" t="n">
        <f aca="false">Q$3*$E40</f>
        <v>8.6125274915869</v>
      </c>
      <c r="R40" s="177" t="n">
        <f aca="false">R$3*$E40</f>
        <v>9.34960958875005</v>
      </c>
      <c r="S40" s="177" t="n">
        <f aca="false">S$3*$E40</f>
        <v>10.1807625</v>
      </c>
      <c r="T40" s="177" t="n">
        <f aca="false">T$3*$E40</f>
        <v>11.0119154112499</v>
      </c>
      <c r="U40" s="177" t="n">
        <f aca="false">U$3*$E40</f>
        <v>11.7489975084131</v>
      </c>
      <c r="V40" s="177" t="n">
        <f aca="false">V$3*$E40</f>
        <v>12.3361960454596</v>
      </c>
      <c r="W40" s="177" t="n">
        <f aca="false">W$3*$E40</f>
        <v>12.7652989077245</v>
      </c>
      <c r="X40" s="177" t="n">
        <f aca="false">X$3*$E40</f>
        <v>13.0594872570143</v>
      </c>
      <c r="Y40" s="177" t="n">
        <f aca="false">Y$3*$E40</f>
        <v>13.252462299216</v>
      </c>
      <c r="Z40" s="177" t="n">
        <f aca="false">Z$3*$E40</f>
        <v>13.3754027602502</v>
      </c>
      <c r="AA40" s="177" t="n">
        <f aca="false">AA$3*$E40</f>
        <v>13.4522744454005</v>
      </c>
      <c r="AB40" s="177" t="n">
        <f aca="false">AB$3*$E40</f>
        <v>13.4997796976512</v>
      </c>
      <c r="AC40" s="177" t="n">
        <f aca="false">AC$3*$E40</f>
        <v>13.528924449528</v>
      </c>
      <c r="AD40" s="219" t="n">
        <f aca="false">Algae_electricity_factor/H40</f>
        <v>0.00202493631054588</v>
      </c>
      <c r="AE40" s="220" t="n">
        <f aca="false">Algae_electricity_factor/I40</f>
        <v>0.00202493631054588</v>
      </c>
      <c r="AF40" s="220" t="n">
        <f aca="false">Algae_electricity_factor/J40</f>
        <v>0.00202493631054588</v>
      </c>
      <c r="AG40" s="220" t="n">
        <f aca="false">Algae_electricity_factor/K40</f>
        <v>0.00202493631054588</v>
      </c>
      <c r="AH40" s="220" t="n">
        <f aca="false">Algae_electricity_factor/L40</f>
        <v>0.00202493631054588</v>
      </c>
      <c r="AI40" s="220" t="n">
        <f aca="false">Algae_electricity_factor/M40</f>
        <v>0.00193325023030303</v>
      </c>
      <c r="AJ40" s="220" t="n">
        <f aca="false">Algae_electricity_factor/N40</f>
        <v>0.001882159143416</v>
      </c>
      <c r="AK40" s="220" t="n">
        <f aca="false">Algae_electricity_factor/O40</f>
        <v>0.00180926646160585</v>
      </c>
      <c r="AL40" s="220" t="n">
        <f aca="false">Algae_electricity_factor/P40</f>
        <v>0.00171252757131578</v>
      </c>
      <c r="AM40" s="220" t="n">
        <f aca="false">Algae_electricity_factor/Q40</f>
        <v>0.00159576815481339</v>
      </c>
      <c r="AN40" s="220" t="n">
        <f aca="false">Algae_electricity_factor/R40</f>
        <v>0.0014699648122277</v>
      </c>
      <c r="AO40" s="220" t="n">
        <f aca="false">Algae_electricity_factor/S40</f>
        <v>0.00134995754036392</v>
      </c>
      <c r="AP40" s="220" t="n">
        <f aca="false">Algae_electricity_factor/T40</f>
        <v>0.00124806598945435</v>
      </c>
      <c r="AQ40" s="220" t="n">
        <f aca="false">Algae_electricity_factor/U40</f>
        <v>0.00116976764134028</v>
      </c>
      <c r="AR40" s="220" t="n">
        <f aca="false">Algae_electricity_factor/V40</f>
        <v>0.00111408711833723</v>
      </c>
      <c r="AS40" s="220" t="n">
        <f aca="false">Algae_electricity_factor/W40</f>
        <v>0.00107663731205015</v>
      </c>
      <c r="AT40" s="220" t="n">
        <f aca="false">Algae_electricity_factor/X40</f>
        <v>0.00105238412757342</v>
      </c>
      <c r="AU40" s="220" t="n">
        <f aca="false">Algae_electricity_factor/Y40</f>
        <v>0.00103705989069988</v>
      </c>
      <c r="AV40" s="220" t="n">
        <f aca="false">Algae_electricity_factor/Z40</f>
        <v>0.00102752772009029</v>
      </c>
      <c r="AW40" s="220" t="n">
        <f aca="false">Algae_electricity_factor/AA40</f>
        <v>0.00102165601507099</v>
      </c>
      <c r="AX40" s="220" t="n">
        <f aca="false">Algae_electricity_factor/AB40</f>
        <v>0.00101806084331291</v>
      </c>
      <c r="AY40" s="220" t="n">
        <f aca="false">Algae_electricity_factor/AC40</f>
        <v>0.00101586768074596</v>
      </c>
      <c r="AZ40" s="221" t="n">
        <f aca="false">Algae_yield_cost_factor/H40</f>
        <v>0.112100044464187</v>
      </c>
      <c r="BA40" s="197" t="n">
        <f aca="false">Algae_yield_cost_factor/I40</f>
        <v>0.112100044464187</v>
      </c>
      <c r="BB40" s="197" t="n">
        <f aca="false">Algae_yield_cost_factor/J40</f>
        <v>0.112100044464187</v>
      </c>
      <c r="BC40" s="197" t="n">
        <f aca="false">Algae_yield_cost_factor/K40</f>
        <v>0.112100044464187</v>
      </c>
      <c r="BD40" s="197" t="n">
        <f aca="false">Algae_yield_cost_factor/L40</f>
        <v>0.112100044464187</v>
      </c>
      <c r="BE40" s="197" t="n">
        <f aca="false">Algae_yield_cost_factor/M40</f>
        <v>0.107024322517554</v>
      </c>
      <c r="BF40" s="197" t="n">
        <f aca="false">Algae_yield_cost_factor/N40</f>
        <v>0.10419593078892</v>
      </c>
      <c r="BG40" s="197" t="n">
        <f aca="false">Algae_yield_cost_factor/O40</f>
        <v>0.100160607391598</v>
      </c>
      <c r="BH40" s="197" t="n">
        <f aca="false">Algae_yield_cost_factor/P40</f>
        <v>0.0948051629529483</v>
      </c>
      <c r="BI40" s="197" t="n">
        <f aca="false">Algae_yield_cost_factor/Q40</f>
        <v>0.0883413864315026</v>
      </c>
      <c r="BJ40" s="197" t="n">
        <f aca="false">Algae_yield_cost_factor/R40</f>
        <v>0.0813769400811884</v>
      </c>
      <c r="BK40" s="197" t="n">
        <f aca="false">Algae_yield_cost_factor/S40</f>
        <v>0.0747333629761246</v>
      </c>
      <c r="BL40" s="197" t="n">
        <f aca="false">Algae_yield_cost_factor/T40</f>
        <v>0.0690926683389639</v>
      </c>
      <c r="BM40" s="197" t="n">
        <f aca="false">Algae_yield_cost_factor/U40</f>
        <v>0.0647580884021297</v>
      </c>
      <c r="BN40" s="197" t="n">
        <f aca="false">Algae_yield_cost_factor/V40</f>
        <v>0.061675626463982</v>
      </c>
      <c r="BO40" s="197" t="n">
        <f aca="false">Algae_yield_cost_factor/W40</f>
        <v>0.0596024131347067</v>
      </c>
      <c r="BP40" s="197" t="n">
        <f aca="false">Algae_yield_cost_factor/X40</f>
        <v>0.0582597619885547</v>
      </c>
      <c r="BQ40" s="197" t="n">
        <f aca="false">Algae_yield_cost_factor/Y40</f>
        <v>0.0574114154870092</v>
      </c>
      <c r="BR40" s="197" t="n">
        <f aca="false">Algae_yield_cost_factor/Z40</f>
        <v>0.056883716544771</v>
      </c>
      <c r="BS40" s="197" t="n">
        <f aca="false">Algae_yield_cost_factor/AA40</f>
        <v>0.0565586602008671</v>
      </c>
      <c r="BT40" s="197" t="n">
        <f aca="false">Algae_yield_cost_factor/AB40</f>
        <v>0.0563596322552282</v>
      </c>
      <c r="BU40" s="197" t="n">
        <f aca="false">Algae_yield_cost_factor/AC40</f>
        <v>0.0562382192409068</v>
      </c>
    </row>
    <row r="41" customFormat="false" ht="15" hidden="false" customHeight="false" outlineLevel="0" collapsed="false">
      <c r="A41" s="18" t="s">
        <v>696</v>
      </c>
      <c r="B41" s="18" t="s">
        <v>22</v>
      </c>
      <c r="C41" s="18" t="s">
        <v>686</v>
      </c>
      <c r="D41" s="18" t="s">
        <v>686</v>
      </c>
      <c r="E41" s="28" t="n">
        <v>7.09122</v>
      </c>
      <c r="F41" s="185" t="n">
        <f aca="false">E41/$B$2*$F$3/1000</f>
        <v>0.017373489</v>
      </c>
      <c r="G41" s="18" t="n">
        <f aca="false">LOOKUP(RIGHT(D41,5),Ref!$C$4:$C$21,Ref!$E$4:$E$21)*$G$3</f>
        <v>4.5</v>
      </c>
      <c r="H41" s="218" t="n">
        <f aca="false">$E41</f>
        <v>7.09122</v>
      </c>
      <c r="I41" s="177" t="n">
        <f aca="false">$E41</f>
        <v>7.09122</v>
      </c>
      <c r="J41" s="177" t="n">
        <f aca="false">$E41</f>
        <v>7.09122</v>
      </c>
      <c r="K41" s="177" t="n">
        <f aca="false">$E41</f>
        <v>7.09122</v>
      </c>
      <c r="L41" s="177" t="n">
        <f aca="false">$E41</f>
        <v>7.09122</v>
      </c>
      <c r="M41" s="177" t="n">
        <f aca="false">M$3*$E41</f>
        <v>7.42752730039422</v>
      </c>
      <c r="N41" s="177" t="n">
        <f aca="false">N$3*$E41</f>
        <v>7.62914704333024</v>
      </c>
      <c r="O41" s="177" t="n">
        <f aca="false">O$3*$E41</f>
        <v>7.93651414470168</v>
      </c>
      <c r="P41" s="177" t="n">
        <f aca="false">P$3*$E41</f>
        <v>8.38483952292611</v>
      </c>
      <c r="Q41" s="177" t="n">
        <f aca="false">Q$3*$E41</f>
        <v>8.99834278604734</v>
      </c>
      <c r="R41" s="177" t="n">
        <f aca="false">R$3*$E41</f>
        <v>9.76844394139479</v>
      </c>
      <c r="S41" s="177" t="n">
        <f aca="false">S$3*$E41</f>
        <v>10.63683</v>
      </c>
      <c r="T41" s="177" t="n">
        <f aca="false">T$3*$E41</f>
        <v>11.5052160586052</v>
      </c>
      <c r="U41" s="177" t="n">
        <f aca="false">U$3*$E41</f>
        <v>12.2753172139527</v>
      </c>
      <c r="V41" s="177" t="n">
        <f aca="false">V$3*$E41</f>
        <v>12.8888204770739</v>
      </c>
      <c r="W41" s="177" t="n">
        <f aca="false">W$3*$E41</f>
        <v>13.3371458552983</v>
      </c>
      <c r="X41" s="177" t="n">
        <f aca="false">X$3*$E41</f>
        <v>13.6445129566698</v>
      </c>
      <c r="Y41" s="177" t="n">
        <f aca="false">Y$3*$E41</f>
        <v>13.8461326996058</v>
      </c>
      <c r="Z41" s="177" t="n">
        <f aca="false">Z$3*$E41</f>
        <v>13.9745805230514</v>
      </c>
      <c r="AA41" s="177" t="n">
        <f aca="false">AA$3*$E41</f>
        <v>14.0548958281926</v>
      </c>
      <c r="AB41" s="177" t="n">
        <f aca="false">AB$3*$E41</f>
        <v>14.1045291726791</v>
      </c>
      <c r="AC41" s="177" t="n">
        <f aca="false">AC$3*$E41</f>
        <v>14.1349795216687</v>
      </c>
      <c r="AD41" s="219" t="n">
        <f aca="false">Algae_electricity_factor/H41</f>
        <v>0.00193811461265188</v>
      </c>
      <c r="AE41" s="220" t="n">
        <f aca="false">Algae_electricity_factor/I41</f>
        <v>0.00193811461265188</v>
      </c>
      <c r="AF41" s="220" t="n">
        <f aca="false">Algae_electricity_factor/J41</f>
        <v>0.00193811461265188</v>
      </c>
      <c r="AG41" s="220" t="n">
        <f aca="false">Algae_electricity_factor/K41</f>
        <v>0.00193811461265188</v>
      </c>
      <c r="AH41" s="220" t="n">
        <f aca="false">Algae_electricity_factor/L41</f>
        <v>0.00193811461265188</v>
      </c>
      <c r="AI41" s="220" t="n">
        <f aca="false">Algae_electricity_factor/M41</f>
        <v>0.00185035968872168</v>
      </c>
      <c r="AJ41" s="220" t="n">
        <f aca="false">Algae_electricity_factor/N41</f>
        <v>0.0018014591966142</v>
      </c>
      <c r="AK41" s="220" t="n">
        <f aca="false">Algae_electricity_factor/O41</f>
        <v>0.00173169188045917</v>
      </c>
      <c r="AL41" s="220" t="n">
        <f aca="false">Algae_electricity_factor/P41</f>
        <v>0.00163910079208446</v>
      </c>
      <c r="AM41" s="220" t="n">
        <f aca="false">Algae_electricity_factor/Q41</f>
        <v>0.00152734758280601</v>
      </c>
      <c r="AN41" s="220" t="n">
        <f aca="false">Algae_electricity_factor/R41</f>
        <v>0.00140693821718005</v>
      </c>
      <c r="AO41" s="220" t="n">
        <f aca="false">Algae_electricity_factor/S41</f>
        <v>0.00129207640843459</v>
      </c>
      <c r="AP41" s="220" t="n">
        <f aca="false">Algae_electricity_factor/T41</f>
        <v>0.00119455358626228</v>
      </c>
      <c r="AQ41" s="220" t="n">
        <f aca="false">Algae_electricity_factor/U41</f>
        <v>0.00111961237856303</v>
      </c>
      <c r="AR41" s="220" t="n">
        <f aca="false">Algae_electricity_factor/V41</f>
        <v>0.00106631922820058</v>
      </c>
      <c r="AS41" s="220" t="n">
        <f aca="false">Algae_electricity_factor/W41</f>
        <v>0.00103047512958475</v>
      </c>
      <c r="AT41" s="220" t="n">
        <f aca="false">Algae_electricity_factor/X41</f>
        <v>0.00100726183097734</v>
      </c>
      <c r="AU41" s="220" t="n">
        <f aca="false">Algae_electricity_factor/Y41</f>
        <v>0.000992594640084633</v>
      </c>
      <c r="AV41" s="220" t="n">
        <f aca="false">Algae_electricity_factor/Z41</f>
        <v>0.000983471173310634</v>
      </c>
      <c r="AW41" s="220" t="n">
        <f aca="false">Algae_electricity_factor/AA41</f>
        <v>0.000977851225048646</v>
      </c>
      <c r="AX41" s="220" t="n">
        <f aca="false">Algae_electricity_factor/AB41</f>
        <v>0.000974410200813441</v>
      </c>
      <c r="AY41" s="220" t="n">
        <f aca="false">Algae_electricity_factor/AC41</f>
        <v>0.000972311072857272</v>
      </c>
      <c r="AZ41" s="221" t="n">
        <f aca="false">Algae_yield_cost_factor/H41</f>
        <v>0.107293613692174</v>
      </c>
      <c r="BA41" s="197" t="n">
        <f aca="false">Algae_yield_cost_factor/I41</f>
        <v>0.107293613692174</v>
      </c>
      <c r="BB41" s="197" t="n">
        <f aca="false">Algae_yield_cost_factor/J41</f>
        <v>0.107293613692174</v>
      </c>
      <c r="BC41" s="197" t="n">
        <f aca="false">Algae_yield_cost_factor/K41</f>
        <v>0.107293613692174</v>
      </c>
      <c r="BD41" s="197" t="n">
        <f aca="false">Algae_yield_cost_factor/L41</f>
        <v>0.107293613692174</v>
      </c>
      <c r="BE41" s="197" t="n">
        <f aca="false">Algae_yield_cost_factor/M41</f>
        <v>0.102435519724826</v>
      </c>
      <c r="BF41" s="197" t="n">
        <f aca="false">Algae_yield_cost_factor/N41</f>
        <v>0.0997283988583471</v>
      </c>
      <c r="BG41" s="197" t="n">
        <f aca="false">Algae_yield_cost_factor/O41</f>
        <v>0.0958660950404967</v>
      </c>
      <c r="BH41" s="197" t="n">
        <f aca="false">Algae_yield_cost_factor/P41</f>
        <v>0.0907402720357255</v>
      </c>
      <c r="BI41" s="197" t="n">
        <f aca="false">Algae_yield_cost_factor/Q41</f>
        <v>0.0845536380838888</v>
      </c>
      <c r="BJ41" s="197" t="n">
        <f aca="false">Algae_yield_cost_factor/R41</f>
        <v>0.0778878011534743</v>
      </c>
      <c r="BK41" s="197" t="n">
        <f aca="false">Algae_yield_cost_factor/S41</f>
        <v>0.0715290757947826</v>
      </c>
      <c r="BL41" s="197" t="n">
        <f aca="false">Algae_yield_cost_factor/T41</f>
        <v>0.0661302330534812</v>
      </c>
      <c r="BM41" s="197" t="n">
        <f aca="false">Algae_yield_cost_factor/U41</f>
        <v>0.0619815036976324</v>
      </c>
      <c r="BN41" s="197" t="n">
        <f aca="false">Algae_yield_cost_factor/V41</f>
        <v>0.0590312062022722</v>
      </c>
      <c r="BO41" s="197" t="n">
        <f aca="false">Algae_yield_cost_factor/W41</f>
        <v>0.0570468845089495</v>
      </c>
      <c r="BP41" s="197" t="n">
        <f aca="false">Algae_yield_cost_factor/X41</f>
        <v>0.0557618012238612</v>
      </c>
      <c r="BQ41" s="197" t="n">
        <f aca="false">Algae_yield_cost_factor/Y41</f>
        <v>0.0549498286483908</v>
      </c>
      <c r="BR41" s="197" t="n">
        <f aca="false">Algae_yield_cost_factor/Z41</f>
        <v>0.0544447554637645</v>
      </c>
      <c r="BS41" s="197" t="n">
        <f aca="false">Algae_yield_cost_factor/AA41</f>
        <v>0.0541336363205232</v>
      </c>
      <c r="BT41" s="197" t="n">
        <f aca="false">Algae_yield_cost_factor/AB41</f>
        <v>0.053943141949041</v>
      </c>
      <c r="BU41" s="197" t="n">
        <f aca="false">Algae_yield_cost_factor/AC41</f>
        <v>0.0538269346708185</v>
      </c>
    </row>
    <row r="42" customFormat="false" ht="15" hidden="false" customHeight="false" outlineLevel="0" collapsed="false">
      <c r="A42" s="18" t="s">
        <v>696</v>
      </c>
      <c r="B42" s="18" t="s">
        <v>22</v>
      </c>
      <c r="C42" s="18" t="s">
        <v>687</v>
      </c>
      <c r="D42" s="18" t="s">
        <v>687</v>
      </c>
      <c r="E42" s="28" t="n">
        <v>7.054866</v>
      </c>
      <c r="F42" s="185" t="n">
        <f aca="false">E42/$B$2*$F$3/1000</f>
        <v>0.0172844217</v>
      </c>
      <c r="G42" s="18" t="n">
        <f aca="false">LOOKUP(RIGHT(D42,5),Ref!$C$4:$C$21,Ref!$E$4:$E$21)*$G$3</f>
        <v>4.5</v>
      </c>
      <c r="H42" s="218" t="n">
        <f aca="false">$E42</f>
        <v>7.054866</v>
      </c>
      <c r="I42" s="177" t="n">
        <f aca="false">$E42</f>
        <v>7.054866</v>
      </c>
      <c r="J42" s="177" t="n">
        <f aca="false">$E42</f>
        <v>7.054866</v>
      </c>
      <c r="K42" s="177" t="n">
        <f aca="false">$E42</f>
        <v>7.054866</v>
      </c>
      <c r="L42" s="177" t="n">
        <f aca="false">$E42</f>
        <v>7.054866</v>
      </c>
      <c r="M42" s="177" t="n">
        <f aca="false">M$3*$E42</f>
        <v>7.38944918020073</v>
      </c>
      <c r="N42" s="177" t="n">
        <f aca="false">N$3*$E42</f>
        <v>7.59003529505375</v>
      </c>
      <c r="O42" s="177" t="n">
        <f aca="false">O$3*$E42</f>
        <v>7.89582664167449</v>
      </c>
      <c r="P42" s="177" t="n">
        <f aca="false">P$3*$E42</f>
        <v>8.34185362543365</v>
      </c>
      <c r="Q42" s="177" t="n">
        <f aca="false">Q$3*$E42</f>
        <v>8.95221168961485</v>
      </c>
      <c r="R42" s="177" t="n">
        <f aca="false">R$3*$E42</f>
        <v>9.7183648279213</v>
      </c>
      <c r="S42" s="177" t="n">
        <f aca="false">S$3*$E42</f>
        <v>10.582299</v>
      </c>
      <c r="T42" s="177" t="n">
        <f aca="false">T$3*$E42</f>
        <v>11.4462331720787</v>
      </c>
      <c r="U42" s="177" t="n">
        <f aca="false">U$3*$E42</f>
        <v>12.2123863103851</v>
      </c>
      <c r="V42" s="177" t="n">
        <f aca="false">V$3*$E42</f>
        <v>12.8227443745663</v>
      </c>
      <c r="W42" s="177" t="n">
        <f aca="false">W$3*$E42</f>
        <v>13.2687713583255</v>
      </c>
      <c r="X42" s="177" t="n">
        <f aca="false">X$3*$E42</f>
        <v>13.5745627049463</v>
      </c>
      <c r="Y42" s="177" t="n">
        <f aca="false">Y$3*$E42</f>
        <v>13.7751488197993</v>
      </c>
      <c r="Z42" s="177" t="n">
        <f aca="false">Z$3*$E42</f>
        <v>13.9029381398881</v>
      </c>
      <c r="AA42" s="177" t="n">
        <f aca="false">AA$3*$E42</f>
        <v>13.9828416988696</v>
      </c>
      <c r="AB42" s="177" t="n">
        <f aca="false">AB$3*$E42</f>
        <v>14.0322205919915</v>
      </c>
      <c r="AC42" s="177" t="n">
        <f aca="false">AC$3*$E42</f>
        <v>14.0625148335712</v>
      </c>
      <c r="AD42" s="219" t="n">
        <f aca="false">Algae_electricity_factor/H42</f>
        <v>0.00194810179293686</v>
      </c>
      <c r="AE42" s="220" t="n">
        <f aca="false">Algae_electricity_factor/I42</f>
        <v>0.00194810179293686</v>
      </c>
      <c r="AF42" s="220" t="n">
        <f aca="false">Algae_electricity_factor/J42</f>
        <v>0.00194810179293686</v>
      </c>
      <c r="AG42" s="220" t="n">
        <f aca="false">Algae_electricity_factor/K42</f>
        <v>0.00194810179293686</v>
      </c>
      <c r="AH42" s="220" t="n">
        <f aca="false">Algae_electricity_factor/L42</f>
        <v>0.00194810179293686</v>
      </c>
      <c r="AI42" s="220" t="n">
        <f aca="false">Algae_electricity_factor/M42</f>
        <v>0.0018598946644567</v>
      </c>
      <c r="AJ42" s="220" t="n">
        <f aca="false">Algae_electricity_factor/N42</f>
        <v>0.00181074218620375</v>
      </c>
      <c r="AK42" s="220" t="n">
        <f aca="false">Algae_electricity_factor/O42</f>
        <v>0.00174061535634407</v>
      </c>
      <c r="AL42" s="220" t="n">
        <f aca="false">Algae_electricity_factor/P42</f>
        <v>0.00164754714247516</v>
      </c>
      <c r="AM42" s="220" t="n">
        <f aca="false">Algae_electricity_factor/Q42</f>
        <v>0.00153521806454518</v>
      </c>
      <c r="AN42" s="220" t="n">
        <f aca="false">Algae_electricity_factor/R42</f>
        <v>0.00141418822475601</v>
      </c>
      <c r="AO42" s="220" t="n">
        <f aca="false">Algae_electricity_factor/S42</f>
        <v>0.00129873452862457</v>
      </c>
      <c r="AP42" s="220" t="n">
        <f aca="false">Algae_electricity_factor/T42</f>
        <v>0.00120070916754122</v>
      </c>
      <c r="AQ42" s="220" t="n">
        <f aca="false">Algae_electricity_factor/U42</f>
        <v>0.00112538178487213</v>
      </c>
      <c r="AR42" s="220" t="n">
        <f aca="false">Algae_electricity_factor/V42</f>
        <v>0.0010718140128247</v>
      </c>
      <c r="AS42" s="220" t="n">
        <f aca="false">Algae_electricity_factor/W42</f>
        <v>0.00103578520816894</v>
      </c>
      <c r="AT42" s="220" t="n">
        <f aca="false">Algae_electricity_factor/X42</f>
        <v>0.0010124522905273</v>
      </c>
      <c r="AU42" s="220" t="n">
        <f aca="false">Algae_electricity_factor/Y42</f>
        <v>0.000997709519027144</v>
      </c>
      <c r="AV42" s="220" t="n">
        <f aca="false">Algae_electricity_factor/Z42</f>
        <v>0.000988539038672575</v>
      </c>
      <c r="AW42" s="220" t="n">
        <f aca="false">Algae_electricity_factor/AA42</f>
        <v>0.000982890130597727</v>
      </c>
      <c r="AX42" s="220" t="n">
        <f aca="false">Algae_electricity_factor/AB42</f>
        <v>0.00097943137463026</v>
      </c>
      <c r="AY42" s="220" t="n">
        <f aca="false">Algae_electricity_factor/AC42</f>
        <v>0.00097732142978576</v>
      </c>
      <c r="AZ42" s="221" t="n">
        <f aca="false">Algae_yield_cost_factor/H42</f>
        <v>0.10784650187349</v>
      </c>
      <c r="BA42" s="197" t="n">
        <f aca="false">Algae_yield_cost_factor/I42</f>
        <v>0.10784650187349</v>
      </c>
      <c r="BB42" s="197" t="n">
        <f aca="false">Algae_yield_cost_factor/J42</f>
        <v>0.10784650187349</v>
      </c>
      <c r="BC42" s="197" t="n">
        <f aca="false">Algae_yield_cost_factor/K42</f>
        <v>0.10784650187349</v>
      </c>
      <c r="BD42" s="197" t="n">
        <f aca="false">Algae_yield_cost_factor/L42</f>
        <v>0.10784650187349</v>
      </c>
      <c r="BE42" s="197" t="n">
        <f aca="false">Algae_yield_cost_factor/M42</f>
        <v>0.102963373958213</v>
      </c>
      <c r="BF42" s="197" t="n">
        <f aca="false">Algae_yield_cost_factor/N42</f>
        <v>0.100242303192192</v>
      </c>
      <c r="BG42" s="197" t="n">
        <f aca="false">Algae_yield_cost_factor/O42</f>
        <v>0.0963600967719403</v>
      </c>
      <c r="BH42" s="197" t="n">
        <f aca="false">Algae_yield_cost_factor/P42</f>
        <v>0.0912078602010551</v>
      </c>
      <c r="BI42" s="197" t="n">
        <f aca="false">Algae_yield_cost_factor/Q42</f>
        <v>0.0849893462828683</v>
      </c>
      <c r="BJ42" s="197" t="n">
        <f aca="false">Algae_yield_cost_factor/R42</f>
        <v>0.0782891600344415</v>
      </c>
      <c r="BK42" s="197" t="n">
        <f aca="false">Algae_yield_cost_factor/S42</f>
        <v>0.0718976679156597</v>
      </c>
      <c r="BL42" s="197" t="n">
        <f aca="false">Algae_yield_cost_factor/T42</f>
        <v>0.0664710047268803</v>
      </c>
      <c r="BM42" s="197" t="n">
        <f aca="false">Algae_yield_cost_factor/U42</f>
        <v>0.0623008968066474</v>
      </c>
      <c r="BN42" s="197" t="n">
        <f aca="false">Algae_yield_cost_factor/V42</f>
        <v>0.0593353963130805</v>
      </c>
      <c r="BO42" s="197" t="n">
        <f aca="false">Algae_yield_cost_factor/W42</f>
        <v>0.0573408493325817</v>
      </c>
      <c r="BP42" s="197" t="n">
        <f aca="false">Algae_yield_cost_factor/X42</f>
        <v>0.0560491439631411</v>
      </c>
      <c r="BQ42" s="197" t="n">
        <f aca="false">Algae_yield_cost_factor/Y42</f>
        <v>0.0552329872612806</v>
      </c>
      <c r="BR42" s="197" t="n">
        <f aca="false">Algae_yield_cost_factor/Z42</f>
        <v>0.0547253114148101</v>
      </c>
      <c r="BS42" s="197" t="n">
        <f aca="false">Algae_yield_cost_factor/AA42</f>
        <v>0.0544125890624741</v>
      </c>
      <c r="BT42" s="197" t="n">
        <f aca="false">Algae_yield_cost_factor/AB42</f>
        <v>0.0542211130660566</v>
      </c>
      <c r="BU42" s="197" t="n">
        <f aca="false">Algae_yield_cost_factor/AC42</f>
        <v>0.0541043069671914</v>
      </c>
    </row>
    <row r="43" customFormat="false" ht="15" hidden="false" customHeight="false" outlineLevel="0" collapsed="false">
      <c r="A43" s="18" t="s">
        <v>697</v>
      </c>
      <c r="B43" s="18" t="s">
        <v>22</v>
      </c>
      <c r="C43" s="18" t="s">
        <v>690</v>
      </c>
      <c r="D43" s="18" t="s">
        <v>690</v>
      </c>
      <c r="E43" s="28" t="n">
        <v>7.2311975</v>
      </c>
      <c r="F43" s="185" t="n">
        <f aca="false">E43/$B$2*$F$3/1000</f>
        <v>0.017716433875</v>
      </c>
      <c r="G43" s="18" t="n">
        <f aca="false">LOOKUP(RIGHT(D43,5),Ref!$C$4:$C$21,Ref!$E$4:$E$21)*$G$3</f>
        <v>1.5</v>
      </c>
      <c r="H43" s="218" t="n">
        <f aca="false">$E43</f>
        <v>7.2311975</v>
      </c>
      <c r="I43" s="177" t="n">
        <f aca="false">$E43</f>
        <v>7.2311975</v>
      </c>
      <c r="J43" s="177" t="n">
        <f aca="false">$E43</f>
        <v>7.2311975</v>
      </c>
      <c r="K43" s="177" t="n">
        <f aca="false">$E43</f>
        <v>7.2311975</v>
      </c>
      <c r="L43" s="177" t="n">
        <f aca="false">$E43</f>
        <v>7.2311975</v>
      </c>
      <c r="M43" s="177" t="n">
        <f aca="false">M$3*$E43</f>
        <v>7.57414335555694</v>
      </c>
      <c r="N43" s="177" t="n">
        <f aca="false">N$3*$E43</f>
        <v>7.77974298172417</v>
      </c>
      <c r="O43" s="177" t="n">
        <f aca="false">O$3*$E43</f>
        <v>8.09317737171903</v>
      </c>
      <c r="P43" s="177" t="n">
        <f aca="false">P$3*$E43</f>
        <v>8.55035249168471</v>
      </c>
      <c r="Q43" s="177" t="n">
        <f aca="false">Q$3*$E43</f>
        <v>9.17596603385716</v>
      </c>
      <c r="R43" s="177" t="n">
        <f aca="false">R$3*$E43</f>
        <v>9.96126864036148</v>
      </c>
      <c r="S43" s="177" t="n">
        <f aca="false">S$3*$E43</f>
        <v>10.84679625</v>
      </c>
      <c r="T43" s="177" t="n">
        <f aca="false">T$3*$E43</f>
        <v>11.7323238596385</v>
      </c>
      <c r="U43" s="177" t="n">
        <f aca="false">U$3*$E43</f>
        <v>12.5176264661428</v>
      </c>
      <c r="V43" s="177" t="n">
        <f aca="false">V$3*$E43</f>
        <v>13.1432400083153</v>
      </c>
      <c r="W43" s="177" t="n">
        <f aca="false">W$3*$E43</f>
        <v>13.600415128281</v>
      </c>
      <c r="X43" s="177" t="n">
        <f aca="false">X$3*$E43</f>
        <v>13.9138495182758</v>
      </c>
      <c r="Y43" s="177" t="n">
        <f aca="false">Y$3*$E43</f>
        <v>14.1194491444431</v>
      </c>
      <c r="Z43" s="177" t="n">
        <f aca="false">Z$3*$E43</f>
        <v>14.2504324702714</v>
      </c>
      <c r="AA43" s="177" t="n">
        <f aca="false">AA$3*$E43</f>
        <v>14.3323331634877</v>
      </c>
      <c r="AB43" s="177" t="n">
        <f aca="false">AB$3*$E43</f>
        <v>14.382946247917</v>
      </c>
      <c r="AC43" s="177" t="n">
        <f aca="false">AC$3*$E43</f>
        <v>14.4139976731284</v>
      </c>
      <c r="AD43" s="219" t="n">
        <f aca="false">Algae_electricity_factor/H43</f>
        <v>0.00190059766774857</v>
      </c>
      <c r="AE43" s="220" t="n">
        <f aca="false">Algae_electricity_factor/I43</f>
        <v>0.00190059766774857</v>
      </c>
      <c r="AF43" s="220" t="n">
        <f aca="false">Algae_electricity_factor/J43</f>
        <v>0.00190059766774857</v>
      </c>
      <c r="AG43" s="220" t="n">
        <f aca="false">Algae_electricity_factor/K43</f>
        <v>0.00190059766774857</v>
      </c>
      <c r="AH43" s="220" t="n">
        <f aca="false">Algae_electricity_factor/L43</f>
        <v>0.00190059766774857</v>
      </c>
      <c r="AI43" s="220" t="n">
        <f aca="false">Algae_electricity_factor/M43</f>
        <v>0.00181454145483607</v>
      </c>
      <c r="AJ43" s="220" t="n">
        <f aca="false">Algae_electricity_factor/N43</f>
        <v>0.00176658755126167</v>
      </c>
      <c r="AK43" s="220" t="n">
        <f aca="false">Algae_electricity_factor/O43</f>
        <v>0.00169817075201579</v>
      </c>
      <c r="AL43" s="220" t="n">
        <f aca="false">Algae_electricity_factor/P43</f>
        <v>0.00160737199044075</v>
      </c>
      <c r="AM43" s="220" t="n">
        <f aca="false">Algae_electricity_factor/Q43</f>
        <v>0.00149778203764253</v>
      </c>
      <c r="AN43" s="220" t="n">
        <f aca="false">Algae_electricity_factor/R43</f>
        <v>0.00137970348955778</v>
      </c>
      <c r="AO43" s="220" t="n">
        <f aca="false">Algae_electricity_factor/S43</f>
        <v>0.00126706511183238</v>
      </c>
      <c r="AP43" s="220" t="n">
        <f aca="false">Algae_electricity_factor/T43</f>
        <v>0.00117143008222011</v>
      </c>
      <c r="AQ43" s="220" t="n">
        <f aca="false">Algae_electricity_factor/U43</f>
        <v>0.00109793954474535</v>
      </c>
      <c r="AR43" s="220" t="n">
        <f aca="false">Algae_electricity_factor/V43</f>
        <v>0.00104567801355177</v>
      </c>
      <c r="AS43" s="220" t="n">
        <f aca="false">Algae_electricity_factor/W43</f>
        <v>0.00101052776506436</v>
      </c>
      <c r="AT43" s="220" t="n">
        <f aca="false">Algae_electricity_factor/X43</f>
        <v>0.000987763816582683</v>
      </c>
      <c r="AU43" s="220" t="n">
        <f aca="false">Algae_electricity_factor/Y43</f>
        <v>0.000973380545014978</v>
      </c>
      <c r="AV43" s="220" t="n">
        <f aca="false">Algae_electricity_factor/Z43</f>
        <v>0.000964433685237311</v>
      </c>
      <c r="AW43" s="220" t="n">
        <f aca="false">Algae_electricity_factor/AA43</f>
        <v>0.000958922524808576</v>
      </c>
      <c r="AX43" s="220" t="n">
        <f aca="false">Algae_electricity_factor/AB43</f>
        <v>0.000955548110006992</v>
      </c>
      <c r="AY43" s="220" t="n">
        <f aca="false">Algae_electricity_factor/AC43</f>
        <v>0.000953489615802493</v>
      </c>
      <c r="AZ43" s="221" t="n">
        <f aca="false">Algae_yield_cost_factor/H43</f>
        <v>0.105216683583351</v>
      </c>
      <c r="BA43" s="197" t="n">
        <f aca="false">Algae_yield_cost_factor/I43</f>
        <v>0.105216683583351</v>
      </c>
      <c r="BB43" s="197" t="n">
        <f aca="false">Algae_yield_cost_factor/J43</f>
        <v>0.105216683583351</v>
      </c>
      <c r="BC43" s="197" t="n">
        <f aca="false">Algae_yield_cost_factor/K43</f>
        <v>0.105216683583351</v>
      </c>
      <c r="BD43" s="197" t="n">
        <f aca="false">Algae_yield_cost_factor/L43</f>
        <v>0.105216683583351</v>
      </c>
      <c r="BE43" s="197" t="n">
        <f aca="false">Algae_yield_cost_factor/M43</f>
        <v>0.10045262989748</v>
      </c>
      <c r="BF43" s="197" t="n">
        <f aca="false">Algae_yield_cost_factor/N43</f>
        <v>0.0977979119713281</v>
      </c>
      <c r="BG43" s="197" t="n">
        <f aca="false">Algae_yield_cost_factor/O43</f>
        <v>0.0940103724829907</v>
      </c>
      <c r="BH43" s="197" t="n">
        <f aca="false">Algae_yield_cost_factor/P43</f>
        <v>0.088983772309521</v>
      </c>
      <c r="BI43" s="197" t="n">
        <f aca="false">Algae_yield_cost_factor/Q43</f>
        <v>0.0829168957773915</v>
      </c>
      <c r="BJ43" s="197" t="n">
        <f aca="false">Algae_yield_cost_factor/R43</f>
        <v>0.076380092411463</v>
      </c>
      <c r="BK43" s="197" t="n">
        <f aca="false">Algae_yield_cost_factor/S43</f>
        <v>0.0701444557222339</v>
      </c>
      <c r="BL43" s="197" t="n">
        <f aca="false">Algae_yield_cost_factor/T43</f>
        <v>0.0648501207764699</v>
      </c>
      <c r="BM43" s="197" t="n">
        <f aca="false">Algae_yield_cost_factor/U43</f>
        <v>0.0607817002164199</v>
      </c>
      <c r="BN43" s="197" t="n">
        <f aca="false">Algae_yield_cost_factor/V43</f>
        <v>0.0578885129393405</v>
      </c>
      <c r="BO43" s="197" t="n">
        <f aca="false">Algae_yield_cost_factor/W43</f>
        <v>0.0559426026418934</v>
      </c>
      <c r="BP43" s="197" t="n">
        <f aca="false">Algae_yield_cost_factor/X43</f>
        <v>0.0546823952844144</v>
      </c>
      <c r="BQ43" s="197" t="n">
        <f aca="false">Algae_yield_cost_factor/Y43</f>
        <v>0.0538861404225291</v>
      </c>
      <c r="BR43" s="197" t="n">
        <f aca="false">Algae_yield_cost_factor/Z43</f>
        <v>0.0533908441637441</v>
      </c>
      <c r="BS43" s="197" t="n">
        <f aca="false">Algae_yield_cost_factor/AA43</f>
        <v>0.0530857474918671</v>
      </c>
      <c r="BT43" s="197" t="n">
        <f aca="false">Algae_yield_cost_factor/AB43</f>
        <v>0.0528989406044958</v>
      </c>
      <c r="BU43" s="197" t="n">
        <f aca="false">Algae_yield_cost_factor/AC43</f>
        <v>0.0527849828021433</v>
      </c>
    </row>
    <row r="44" customFormat="false" ht="15" hidden="false" customHeight="false" outlineLevel="0" collapsed="false">
      <c r="A44" s="18" t="s">
        <v>697</v>
      </c>
      <c r="B44" s="18" t="s">
        <v>22</v>
      </c>
      <c r="C44" s="18" t="s">
        <v>691</v>
      </c>
      <c r="D44" s="18" t="s">
        <v>691</v>
      </c>
      <c r="E44" s="28" t="n">
        <v>5.12589575</v>
      </c>
      <c r="F44" s="185" t="n">
        <f aca="false">E44/$B$2*$F$3/1000</f>
        <v>0.0125584445875</v>
      </c>
      <c r="G44" s="18" t="n">
        <f aca="false">LOOKUP(RIGHT(D44,5),Ref!$C$4:$C$21,Ref!$E$4:$E$21)*$G$3</f>
        <v>2</v>
      </c>
      <c r="H44" s="218" t="n">
        <f aca="false">$E44</f>
        <v>5.12589575</v>
      </c>
      <c r="I44" s="177" t="n">
        <f aca="false">$E44</f>
        <v>5.12589575</v>
      </c>
      <c r="J44" s="177" t="n">
        <f aca="false">$E44</f>
        <v>5.12589575</v>
      </c>
      <c r="K44" s="177" t="n">
        <f aca="false">$E44</f>
        <v>5.12589575</v>
      </c>
      <c r="L44" s="177" t="n">
        <f aca="false">$E44</f>
        <v>5.12589575</v>
      </c>
      <c r="M44" s="177" t="n">
        <f aca="false">M$3*$E44</f>
        <v>5.36899583176093</v>
      </c>
      <c r="N44" s="177" t="n">
        <f aca="false">N$3*$E44</f>
        <v>5.51473687257363</v>
      </c>
      <c r="O44" s="177" t="n">
        <f aca="false">O$3*$E44</f>
        <v>5.73691750138075</v>
      </c>
      <c r="P44" s="177" t="n">
        <f aca="false">P$3*$E44</f>
        <v>6.06098996717053</v>
      </c>
      <c r="Q44" s="177" t="n">
        <f aca="false">Q$3*$E44</f>
        <v>6.50446143879942</v>
      </c>
      <c r="R44" s="177" t="n">
        <f aca="false">R$3*$E44</f>
        <v>7.06112985964457</v>
      </c>
      <c r="S44" s="177" t="n">
        <f aca="false">S$3*$E44</f>
        <v>7.688843625</v>
      </c>
      <c r="T44" s="177" t="n">
        <f aca="false">T$3*$E44</f>
        <v>8.31655739035543</v>
      </c>
      <c r="U44" s="177" t="n">
        <f aca="false">U$3*$E44</f>
        <v>8.87322581120058</v>
      </c>
      <c r="V44" s="177" t="n">
        <f aca="false">V$3*$E44</f>
        <v>9.31669728282947</v>
      </c>
      <c r="W44" s="177" t="n">
        <f aca="false">W$3*$E44</f>
        <v>9.64076974861924</v>
      </c>
      <c r="X44" s="177" t="n">
        <f aca="false">X$3*$E44</f>
        <v>9.86295037742637</v>
      </c>
      <c r="Y44" s="177" t="n">
        <f aca="false">Y$3*$E44</f>
        <v>10.0086914182391</v>
      </c>
      <c r="Z44" s="177" t="n">
        <f aca="false">Z$3*$E44</f>
        <v>10.1015400609686</v>
      </c>
      <c r="AA44" s="177" t="n">
        <f aca="false">AA$3*$E44</f>
        <v>10.1595960627967</v>
      </c>
      <c r="AB44" s="177" t="n">
        <f aca="false">AB$3*$E44</f>
        <v>10.1954735774644</v>
      </c>
      <c r="AC44" s="177" t="n">
        <f aca="false">AC$3*$E44</f>
        <v>10.2174846438918</v>
      </c>
      <c r="AD44" s="219" t="n">
        <f aca="false">Algae_electricity_factor/H44</f>
        <v>0.0026812088606229</v>
      </c>
      <c r="AE44" s="220" t="n">
        <f aca="false">Algae_electricity_factor/I44</f>
        <v>0.0026812088606229</v>
      </c>
      <c r="AF44" s="220" t="n">
        <f aca="false">Algae_electricity_factor/J44</f>
        <v>0.0026812088606229</v>
      </c>
      <c r="AG44" s="220" t="n">
        <f aca="false">Algae_electricity_factor/K44</f>
        <v>0.0026812088606229</v>
      </c>
      <c r="AH44" s="220" t="n">
        <f aca="false">Algae_electricity_factor/L44</f>
        <v>0.0026812088606229</v>
      </c>
      <c r="AI44" s="220" t="n">
        <f aca="false">Algae_electricity_factor/M44</f>
        <v>0.00255980774323336</v>
      </c>
      <c r="AJ44" s="220" t="n">
        <f aca="false">Algae_electricity_factor/N44</f>
        <v>0.00249215826994033</v>
      </c>
      <c r="AK44" s="220" t="n">
        <f aca="false">Algae_electricity_factor/O44</f>
        <v>0.00239564140502656</v>
      </c>
      <c r="AL44" s="220" t="n">
        <f aca="false">Algae_electricity_factor/P44</f>
        <v>0.00226754988508012</v>
      </c>
      <c r="AM44" s="220" t="n">
        <f aca="false">Algae_electricity_factor/Q44</f>
        <v>0.00211294927840575</v>
      </c>
      <c r="AN44" s="220" t="n">
        <f aca="false">Algae_electricity_factor/R44</f>
        <v>0.00194637365077734</v>
      </c>
      <c r="AO44" s="220" t="n">
        <f aca="false">Algae_electricity_factor/S44</f>
        <v>0.0017874725737486</v>
      </c>
      <c r="AP44" s="220" t="n">
        <f aca="false">Algae_electricity_factor/T44</f>
        <v>0.00165255843956148</v>
      </c>
      <c r="AQ44" s="220" t="n">
        <f aca="false">Algae_electricity_factor/U44</f>
        <v>0.00154888395674331</v>
      </c>
      <c r="AR44" s="220" t="n">
        <f aca="false">Algae_electricity_factor/V44</f>
        <v>0.00147515763218566</v>
      </c>
      <c r="AS44" s="220" t="n">
        <f aca="false">Algae_electricity_factor/W44</f>
        <v>0.00142557051582916</v>
      </c>
      <c r="AT44" s="220" t="n">
        <f aca="false">Algae_electricity_factor/X44</f>
        <v>0.00139345698574989</v>
      </c>
      <c r="AU44" s="220" t="n">
        <f aca="false">Algae_electricity_factor/Y44</f>
        <v>0.00137316623414765</v>
      </c>
      <c r="AV44" s="220" t="n">
        <f aca="false">Algae_electricity_factor/Z44</f>
        <v>0.00136054473086072</v>
      </c>
      <c r="AW44" s="220" t="n">
        <f aca="false">Algae_electricity_factor/AA44</f>
        <v>0.00135277003323555</v>
      </c>
      <c r="AX44" s="220" t="n">
        <f aca="false">Algae_electricity_factor/AB44</f>
        <v>0.00134800968283686</v>
      </c>
      <c r="AY44" s="220" t="n">
        <f aca="false">Algae_electricity_factor/AC44</f>
        <v>0.00134510572636343</v>
      </c>
      <c r="AZ44" s="221" t="n">
        <f aca="false">Algae_yield_cost_factor/H44</f>
        <v>0.148431153576664</v>
      </c>
      <c r="BA44" s="197" t="n">
        <f aca="false">Algae_yield_cost_factor/I44</f>
        <v>0.148431153576664</v>
      </c>
      <c r="BB44" s="197" t="n">
        <f aca="false">Algae_yield_cost_factor/J44</f>
        <v>0.148431153576664</v>
      </c>
      <c r="BC44" s="197" t="n">
        <f aca="false">Algae_yield_cost_factor/K44</f>
        <v>0.148431153576664</v>
      </c>
      <c r="BD44" s="197" t="n">
        <f aca="false">Algae_yield_cost_factor/L44</f>
        <v>0.148431153576664</v>
      </c>
      <c r="BE44" s="197" t="n">
        <f aca="false">Algae_yield_cost_factor/M44</f>
        <v>0.141710413479065</v>
      </c>
      <c r="BF44" s="197" t="n">
        <f aca="false">Algae_yield_cost_factor/N44</f>
        <v>0.137965352992653</v>
      </c>
      <c r="BG44" s="197" t="n">
        <f aca="false">Algae_yield_cost_factor/O44</f>
        <v>0.132622199831721</v>
      </c>
      <c r="BH44" s="197" t="n">
        <f aca="false">Algae_yield_cost_factor/P44</f>
        <v>0.125531080468263</v>
      </c>
      <c r="BI44" s="197" t="n">
        <f aca="false">Algae_yield_cost_factor/Q44</f>
        <v>0.116972423688725</v>
      </c>
      <c r="BJ44" s="197" t="n">
        <f aca="false">Algae_yield_cost_factor/R44</f>
        <v>0.107750832290247</v>
      </c>
      <c r="BK44" s="197" t="n">
        <f aca="false">Algae_yield_cost_factor/S44</f>
        <v>0.0989541023844425</v>
      </c>
      <c r="BL44" s="197" t="n">
        <f aca="false">Algae_yield_cost_factor/T44</f>
        <v>0.0914852845443662</v>
      </c>
      <c r="BM44" s="197" t="n">
        <f aca="false">Algae_yield_cost_factor/U44</f>
        <v>0.0857458871750806</v>
      </c>
      <c r="BN44" s="197" t="n">
        <f aca="false">Algae_yield_cost_factor/V44</f>
        <v>0.0816644134921544</v>
      </c>
      <c r="BO44" s="197" t="n">
        <f aca="false">Algae_yield_cost_factor/W44</f>
        <v>0.0789192812529504</v>
      </c>
      <c r="BP44" s="197" t="n">
        <f aca="false">Algae_yield_cost_factor/X44</f>
        <v>0.077141483042192</v>
      </c>
      <c r="BQ44" s="197" t="n">
        <f aca="false">Algae_yield_cost_factor/Y44</f>
        <v>0.0760181913391512</v>
      </c>
      <c r="BR44" s="197" t="n">
        <f aca="false">Algae_yield_cost_factor/Z44</f>
        <v>0.0753194675954454</v>
      </c>
      <c r="BS44" s="197" t="n">
        <f aca="false">Algae_yield_cost_factor/AA44</f>
        <v>0.0748890619846922</v>
      </c>
      <c r="BT44" s="197" t="n">
        <f aca="false">Algae_yield_cost_factor/AB44</f>
        <v>0.0746255299967579</v>
      </c>
      <c r="BU44" s="197" t="n">
        <f aca="false">Algae_yield_cost_factor/AC44</f>
        <v>0.0744647675826028</v>
      </c>
    </row>
    <row r="45" customFormat="false" ht="15" hidden="false" customHeight="false" outlineLevel="0" collapsed="false">
      <c r="A45" s="18" t="s">
        <v>697</v>
      </c>
      <c r="B45" s="18" t="s">
        <v>22</v>
      </c>
      <c r="C45" s="18" t="s">
        <v>692</v>
      </c>
      <c r="D45" s="18" t="s">
        <v>692</v>
      </c>
      <c r="E45" s="28" t="n">
        <v>5.070361</v>
      </c>
      <c r="F45" s="185" t="n">
        <f aca="false">E45/$B$2*$F$3/1000</f>
        <v>0.01242238445</v>
      </c>
      <c r="G45" s="18" t="n">
        <f aca="false">LOOKUP(RIGHT(D45,5),Ref!$C$4:$C$21,Ref!$E$4:$E$21)*$G$3</f>
        <v>2.5</v>
      </c>
      <c r="H45" s="218" t="n">
        <f aca="false">$E45</f>
        <v>5.070361</v>
      </c>
      <c r="I45" s="177" t="n">
        <f aca="false">$E45</f>
        <v>5.070361</v>
      </c>
      <c r="J45" s="177" t="n">
        <f aca="false">$E45</f>
        <v>5.070361</v>
      </c>
      <c r="K45" s="177" t="n">
        <f aca="false">$E45</f>
        <v>5.070361</v>
      </c>
      <c r="L45" s="177" t="n">
        <f aca="false">$E45</f>
        <v>5.070361</v>
      </c>
      <c r="M45" s="177" t="n">
        <f aca="false">M$3*$E45</f>
        <v>5.31082729775048</v>
      </c>
      <c r="N45" s="177" t="n">
        <f aca="false">N$3*$E45</f>
        <v>5.45498935751069</v>
      </c>
      <c r="O45" s="177" t="n">
        <f aca="false">O$3*$E45</f>
        <v>5.67476284690699</v>
      </c>
      <c r="P45" s="177" t="n">
        <f aca="false">P$3*$E45</f>
        <v>5.99532426131232</v>
      </c>
      <c r="Q45" s="177" t="n">
        <f aca="false">Q$3*$E45</f>
        <v>6.43399109419899</v>
      </c>
      <c r="R45" s="177" t="n">
        <f aca="false">R$3*$E45</f>
        <v>6.98462848298803</v>
      </c>
      <c r="S45" s="177" t="n">
        <f aca="false">S$3*$E45</f>
        <v>7.6055415</v>
      </c>
      <c r="T45" s="177" t="n">
        <f aca="false">T$3*$E45</f>
        <v>8.22645451701197</v>
      </c>
      <c r="U45" s="177" t="n">
        <f aca="false">U$3*$E45</f>
        <v>8.77709190580101</v>
      </c>
      <c r="V45" s="177" t="n">
        <f aca="false">V$3*$E45</f>
        <v>9.21575873868768</v>
      </c>
      <c r="W45" s="177" t="n">
        <f aca="false">W$3*$E45</f>
        <v>9.53632015309301</v>
      </c>
      <c r="X45" s="177" t="n">
        <f aca="false">X$3*$E45</f>
        <v>9.75609364248931</v>
      </c>
      <c r="Y45" s="177" t="n">
        <f aca="false">Y$3*$E45</f>
        <v>9.90025570224952</v>
      </c>
      <c r="Z45" s="177" t="n">
        <f aca="false">Z$3*$E45</f>
        <v>9.99209840837532</v>
      </c>
      <c r="AA45" s="177" t="n">
        <f aca="false">AA$3*$E45</f>
        <v>10.0495254224704</v>
      </c>
      <c r="AB45" s="177" t="n">
        <f aca="false">AB$3*$E45</f>
        <v>10.0850142345766</v>
      </c>
      <c r="AC45" s="177" t="n">
        <f aca="false">AC$3*$E45</f>
        <v>10.1067868296947</v>
      </c>
      <c r="AD45" s="219" t="n">
        <f aca="false">Algae_electricity_factor/H45</f>
        <v>0.0027105756579323</v>
      </c>
      <c r="AE45" s="220" t="n">
        <f aca="false">Algae_electricity_factor/I45</f>
        <v>0.0027105756579323</v>
      </c>
      <c r="AF45" s="220" t="n">
        <f aca="false">Algae_electricity_factor/J45</f>
        <v>0.0027105756579323</v>
      </c>
      <c r="AG45" s="220" t="n">
        <f aca="false">Algae_electricity_factor/K45</f>
        <v>0.0027105756579323</v>
      </c>
      <c r="AH45" s="220" t="n">
        <f aca="false">Algae_electricity_factor/L45</f>
        <v>0.0027105756579323</v>
      </c>
      <c r="AI45" s="220" t="n">
        <f aca="false">Algae_electricity_factor/M45</f>
        <v>0.00258784485598895</v>
      </c>
      <c r="AJ45" s="220" t="n">
        <f aca="false">Algae_electricity_factor/N45</f>
        <v>0.0025194544302101</v>
      </c>
      <c r="AK45" s="220" t="n">
        <f aca="false">Algae_electricity_factor/O45</f>
        <v>0.002421880433474</v>
      </c>
      <c r="AL45" s="220" t="n">
        <f aca="false">Algae_electricity_factor/P45</f>
        <v>0.00229238595020062</v>
      </c>
      <c r="AM45" s="220" t="n">
        <f aca="false">Algae_electricity_factor/Q45</f>
        <v>0.00213609203095117</v>
      </c>
      <c r="AN45" s="220" t="n">
        <f aca="false">Algae_electricity_factor/R45</f>
        <v>0.0019676919305019</v>
      </c>
      <c r="AO45" s="220" t="n">
        <f aca="false">Algae_electricity_factor/S45</f>
        <v>0.00180705043862153</v>
      </c>
      <c r="AP45" s="220" t="n">
        <f aca="false">Algae_electricity_factor/T45</f>
        <v>0.00167065861424361</v>
      </c>
      <c r="AQ45" s="220" t="n">
        <f aca="false">Algae_electricity_factor/U45</f>
        <v>0.00156584860350451</v>
      </c>
      <c r="AR45" s="220" t="n">
        <f aca="false">Algae_electricity_factor/V45</f>
        <v>0.0014913147678046</v>
      </c>
      <c r="AS45" s="220" t="n">
        <f aca="false">Algae_electricity_factor/W45</f>
        <v>0.00144118453270171</v>
      </c>
      <c r="AT45" s="220" t="n">
        <f aca="false">Algae_electricity_factor/X45</f>
        <v>0.00140871926891658</v>
      </c>
      <c r="AU45" s="220" t="n">
        <f aca="false">Algae_electricity_factor/Y45</f>
        <v>0.00138820627636986</v>
      </c>
      <c r="AV45" s="220" t="n">
        <f aca="false">Algae_electricity_factor/Z45</f>
        <v>0.0013754465320327</v>
      </c>
      <c r="AW45" s="220" t="n">
        <f aca="false">Algae_electricity_factor/AA45</f>
        <v>0.00136758667954599</v>
      </c>
      <c r="AX45" s="220" t="n">
        <f aca="false">Algae_electricity_factor/AB45</f>
        <v>0.00136277418988752</v>
      </c>
      <c r="AY45" s="220" t="n">
        <f aca="false">Algae_electricity_factor/AC45</f>
        <v>0.00135983842690233</v>
      </c>
      <c r="AZ45" s="221" t="n">
        <f aca="false">Algae_yield_cost_factor/H45</f>
        <v>0.150056893244133</v>
      </c>
      <c r="BA45" s="197" t="n">
        <f aca="false">Algae_yield_cost_factor/I45</f>
        <v>0.150056893244133</v>
      </c>
      <c r="BB45" s="197" t="n">
        <f aca="false">Algae_yield_cost_factor/J45</f>
        <v>0.150056893244133</v>
      </c>
      <c r="BC45" s="197" t="n">
        <f aca="false">Algae_yield_cost_factor/K45</f>
        <v>0.150056893244133</v>
      </c>
      <c r="BD45" s="197" t="n">
        <f aca="false">Algae_yield_cost_factor/L45</f>
        <v>0.150056893244133</v>
      </c>
      <c r="BE45" s="197" t="n">
        <f aca="false">Algae_yield_cost_factor/M45</f>
        <v>0.143262542091792</v>
      </c>
      <c r="BF45" s="197" t="n">
        <f aca="false">Algae_yield_cost_factor/N45</f>
        <v>0.139476462632994</v>
      </c>
      <c r="BG45" s="197" t="n">
        <f aca="false">Algae_yield_cost_factor/O45</f>
        <v>0.1340747868787</v>
      </c>
      <c r="BH45" s="197" t="n">
        <f aca="false">Algae_yield_cost_factor/P45</f>
        <v>0.126905999763168</v>
      </c>
      <c r="BI45" s="197" t="n">
        <f aca="false">Algae_yield_cost_factor/Q45</f>
        <v>0.118253601558791</v>
      </c>
      <c r="BJ45" s="197" t="n">
        <f aca="false">Algae_yield_cost_factor/R45</f>
        <v>0.1089310077321</v>
      </c>
      <c r="BK45" s="197" t="n">
        <f aca="false">Algae_yield_cost_factor/S45</f>
        <v>0.100037928829422</v>
      </c>
      <c r="BL45" s="197" t="n">
        <f aca="false">Algae_yield_cost_factor/T45</f>
        <v>0.092487306373946</v>
      </c>
      <c r="BM45" s="197" t="n">
        <f aca="false">Algae_yield_cost_factor/U45</f>
        <v>0.0866850464199147</v>
      </c>
      <c r="BN45" s="197" t="n">
        <f aca="false">Algae_yield_cost_factor/V45</f>
        <v>0.0825588690915059</v>
      </c>
      <c r="BO45" s="197" t="n">
        <f aca="false">Algae_yield_cost_factor/W45</f>
        <v>0.0797836699137503</v>
      </c>
      <c r="BP45" s="197" t="n">
        <f aca="false">Algae_yield_cost_factor/X45</f>
        <v>0.0779863997996729</v>
      </c>
      <c r="BQ45" s="197" t="n">
        <f aca="false">Algae_yield_cost_factor/Y45</f>
        <v>0.0768508048851042</v>
      </c>
      <c r="BR45" s="197" t="n">
        <f aca="false">Algae_yield_cost_factor/Z45</f>
        <v>0.0761444281461923</v>
      </c>
      <c r="BS45" s="197" t="n">
        <f aca="false">Algae_yield_cost_factor/AA45</f>
        <v>0.0757093083803738</v>
      </c>
      <c r="BT45" s="197" t="n">
        <f aca="false">Algae_yield_cost_factor/AB45</f>
        <v>0.0754428899740824</v>
      </c>
      <c r="BU45" s="197" t="n">
        <f aca="false">Algae_yield_cost_factor/AC45</f>
        <v>0.0752803667581857</v>
      </c>
    </row>
    <row r="46" customFormat="false" ht="15" hidden="false" customHeight="false" outlineLevel="0" collapsed="false">
      <c r="A46" s="18" t="s">
        <v>697</v>
      </c>
      <c r="B46" s="18" t="s">
        <v>22</v>
      </c>
      <c r="C46" s="18" t="s">
        <v>693</v>
      </c>
      <c r="D46" s="18" t="s">
        <v>693</v>
      </c>
      <c r="E46" s="28" t="n">
        <v>6.536055</v>
      </c>
      <c r="F46" s="185" t="n">
        <f aca="false">E46/$B$2*$F$3/1000</f>
        <v>0.01601333475</v>
      </c>
      <c r="G46" s="18" t="n">
        <f aca="false">LOOKUP(RIGHT(D46,5),Ref!$C$4:$C$21,Ref!$E$4:$E$21)*$G$3</f>
        <v>3</v>
      </c>
      <c r="H46" s="218" t="n">
        <f aca="false">$E46</f>
        <v>6.536055</v>
      </c>
      <c r="I46" s="177" t="n">
        <f aca="false">$E46</f>
        <v>6.536055</v>
      </c>
      <c r="J46" s="177" t="n">
        <f aca="false">$E46</f>
        <v>6.536055</v>
      </c>
      <c r="K46" s="177" t="n">
        <f aca="false">$E46</f>
        <v>6.536055</v>
      </c>
      <c r="L46" s="177" t="n">
        <f aca="false">$E46</f>
        <v>6.536055</v>
      </c>
      <c r="M46" s="177" t="n">
        <f aca="false">M$3*$E46</f>
        <v>6.8460331155116</v>
      </c>
      <c r="N46" s="177" t="n">
        <f aca="false">N$3*$E46</f>
        <v>7.03186823681875</v>
      </c>
      <c r="O46" s="177" t="n">
        <f aca="false">O$3*$E46</f>
        <v>7.31517185449727</v>
      </c>
      <c r="P46" s="177" t="n">
        <f aca="false">P$3*$E46</f>
        <v>7.72839825700216</v>
      </c>
      <c r="Q46" s="177" t="n">
        <f aca="false">Q$3*$E46</f>
        <v>8.29387092185246</v>
      </c>
      <c r="R46" s="177" t="n">
        <f aca="false">R$3*$E46</f>
        <v>9.00368157600146</v>
      </c>
      <c r="S46" s="177" t="n">
        <f aca="false">S$3*$E46</f>
        <v>9.8040825</v>
      </c>
      <c r="T46" s="177" t="n">
        <f aca="false">T$3*$E46</f>
        <v>10.6044834239985</v>
      </c>
      <c r="U46" s="177" t="n">
        <f aca="false">U$3*$E46</f>
        <v>11.3142940781475</v>
      </c>
      <c r="V46" s="177" t="n">
        <f aca="false">V$3*$E46</f>
        <v>11.8797667429978</v>
      </c>
      <c r="W46" s="177" t="n">
        <f aca="false">W$3*$E46</f>
        <v>12.2929931455027</v>
      </c>
      <c r="X46" s="177" t="n">
        <f aca="false">X$3*$E46</f>
        <v>12.5762967631813</v>
      </c>
      <c r="Y46" s="177" t="n">
        <f aca="false">Y$3*$E46</f>
        <v>12.7621318844884</v>
      </c>
      <c r="Z46" s="177" t="n">
        <f aca="false">Z$3*$E46</f>
        <v>12.8805236476364</v>
      </c>
      <c r="AA46" s="177" t="n">
        <f aca="false">AA$3*$E46</f>
        <v>12.9545511424462</v>
      </c>
      <c r="AB46" s="177" t="n">
        <f aca="false">AB$3*$E46</f>
        <v>13.0002987386846</v>
      </c>
      <c r="AC46" s="177" t="n">
        <f aca="false">AC$3*$E46</f>
        <v>13.0283651582521</v>
      </c>
      <c r="AD46" s="219" t="n">
        <f aca="false">Algae_electricity_factor/H46</f>
        <v>0.00210273584043116</v>
      </c>
      <c r="AE46" s="220" t="n">
        <f aca="false">Algae_electricity_factor/I46</f>
        <v>0.00210273584043116</v>
      </c>
      <c r="AF46" s="220" t="n">
        <f aca="false">Algae_electricity_factor/J46</f>
        <v>0.00210273584043116</v>
      </c>
      <c r="AG46" s="220" t="n">
        <f aca="false">Algae_electricity_factor/K46</f>
        <v>0.00210273584043116</v>
      </c>
      <c r="AH46" s="220" t="n">
        <f aca="false">Algae_electricity_factor/L46</f>
        <v>0.00210273584043116</v>
      </c>
      <c r="AI46" s="220" t="n">
        <f aca="false">Algae_electricity_factor/M46</f>
        <v>0.00200752711411654</v>
      </c>
      <c r="AJ46" s="220" t="n">
        <f aca="false">Algae_electricity_factor/N46</f>
        <v>0.00195447307040937</v>
      </c>
      <c r="AK46" s="220" t="n">
        <f aca="false">Algae_electricity_factor/O46</f>
        <v>0.00187877979860171</v>
      </c>
      <c r="AL46" s="220" t="n">
        <f aca="false">Algae_electricity_factor/P46</f>
        <v>0.00177832412959272</v>
      </c>
      <c r="AM46" s="220" t="n">
        <f aca="false">Algae_electricity_factor/Q46</f>
        <v>0.00165707873115291</v>
      </c>
      <c r="AN46" s="220" t="n">
        <f aca="false">Algae_electricity_factor/R46</f>
        <v>0.0015264419323937</v>
      </c>
      <c r="AO46" s="220" t="n">
        <f aca="false">Algae_electricity_factor/S46</f>
        <v>0.00140182389362077</v>
      </c>
      <c r="AP46" s="220" t="n">
        <f aca="false">Algae_electricity_factor/T46</f>
        <v>0.00129601759501333</v>
      </c>
      <c r="AQ46" s="220" t="n">
        <f aca="false">Algae_electricity_factor/U46</f>
        <v>0.00121471096725987</v>
      </c>
      <c r="AR46" s="220" t="n">
        <f aca="false">Algae_electricity_factor/V46</f>
        <v>0.00115689115795392</v>
      </c>
      <c r="AS46" s="220" t="n">
        <f aca="false">Algae_electricity_factor/W46</f>
        <v>0.00111800250279626</v>
      </c>
      <c r="AT46" s="220" t="n">
        <f aca="false">Algae_electricity_factor/X46</f>
        <v>0.00109281749328351</v>
      </c>
      <c r="AU46" s="220" t="n">
        <f aca="false">Algae_electricity_factor/Y46</f>
        <v>0.00107690448805295</v>
      </c>
      <c r="AV46" s="220" t="n">
        <f aca="false">Algae_electricity_factor/Z46</f>
        <v>0.00106700608449651</v>
      </c>
      <c r="AW46" s="220" t="n">
        <f aca="false">Algae_electricity_factor/AA46</f>
        <v>0.00106090878428799</v>
      </c>
      <c r="AX46" s="220" t="n">
        <f aca="false">Algae_electricity_factor/AB46</f>
        <v>0.00105717548340892</v>
      </c>
      <c r="AY46" s="220" t="n">
        <f aca="false">Algae_electricity_factor/AC46</f>
        <v>0.00105489805793662</v>
      </c>
      <c r="AZ46" s="221" t="n">
        <f aca="false">Algae_yield_cost_factor/H46</f>
        <v>0.116407009929723</v>
      </c>
      <c r="BA46" s="197" t="n">
        <f aca="false">Algae_yield_cost_factor/I46</f>
        <v>0.116407009929723</v>
      </c>
      <c r="BB46" s="197" t="n">
        <f aca="false">Algae_yield_cost_factor/J46</f>
        <v>0.116407009929723</v>
      </c>
      <c r="BC46" s="197" t="n">
        <f aca="false">Algae_yield_cost_factor/K46</f>
        <v>0.116407009929723</v>
      </c>
      <c r="BD46" s="197" t="n">
        <f aca="false">Algae_yield_cost_factor/L46</f>
        <v>0.116407009929723</v>
      </c>
      <c r="BE46" s="197" t="n">
        <f aca="false">Algae_yield_cost_factor/M46</f>
        <v>0.111136275044057</v>
      </c>
      <c r="BF46" s="197" t="n">
        <f aca="false">Algae_yield_cost_factor/N46</f>
        <v>0.108199214442395</v>
      </c>
      <c r="BG46" s="197" t="n">
        <f aca="false">Algae_yield_cost_factor/O46</f>
        <v>0.104008850977091</v>
      </c>
      <c r="BH46" s="197" t="n">
        <f aca="false">Algae_yield_cost_factor/P46</f>
        <v>0.0984476464572555</v>
      </c>
      <c r="BI46" s="197" t="n">
        <f aca="false">Algae_yield_cost_factor/Q46</f>
        <v>0.0917355269276702</v>
      </c>
      <c r="BJ46" s="197" t="n">
        <f aca="false">Algae_yield_cost_factor/R46</f>
        <v>0.084503501469241</v>
      </c>
      <c r="BK46" s="197" t="n">
        <f aca="false">Algae_yield_cost_factor/S46</f>
        <v>0.0776046732864822</v>
      </c>
      <c r="BL46" s="197" t="n">
        <f aca="false">Algae_yield_cost_factor/T46</f>
        <v>0.0717472590474693</v>
      </c>
      <c r="BM46" s="197" t="n">
        <f aca="false">Algae_yield_cost_factor/U46</f>
        <v>0.06724614138815</v>
      </c>
      <c r="BN46" s="197" t="n">
        <f aca="false">Algae_yield_cost_factor/V46</f>
        <v>0.064045249014226</v>
      </c>
      <c r="BO46" s="197" t="n">
        <f aca="false">Algae_yield_cost_factor/W46</f>
        <v>0.0618923813167963</v>
      </c>
      <c r="BP46" s="197" t="n">
        <f aca="false">Algae_yield_cost_factor/X46</f>
        <v>0.0604981445343818</v>
      </c>
      <c r="BQ46" s="197" t="n">
        <f aca="false">Algae_yield_cost_factor/Y46</f>
        <v>0.0596172039415277</v>
      </c>
      <c r="BR46" s="197" t="n">
        <f aca="false">Algae_yield_cost_factor/Z46</f>
        <v>0.0590692304210653</v>
      </c>
      <c r="BS46" s="197" t="n">
        <f aca="false">Algae_yield_cost_factor/AA46</f>
        <v>0.0587316851753574</v>
      </c>
      <c r="BT46" s="197" t="n">
        <f aca="false">Algae_yield_cost_factor/AB46</f>
        <v>0.0585250104308912</v>
      </c>
      <c r="BU46" s="197" t="n">
        <f aca="false">Algae_yield_cost_factor/AC46</f>
        <v>0.0583989326400101</v>
      </c>
    </row>
    <row r="47" customFormat="false" ht="15" hidden="false" customHeight="false" outlineLevel="0" collapsed="false">
      <c r="A47" s="18" t="s">
        <v>697</v>
      </c>
      <c r="B47" s="18" t="s">
        <v>22</v>
      </c>
      <c r="C47" s="18" t="s">
        <v>694</v>
      </c>
      <c r="D47" s="18" t="s">
        <v>694</v>
      </c>
      <c r="E47" s="28" t="n">
        <v>5.735975</v>
      </c>
      <c r="F47" s="185" t="n">
        <f aca="false">E47/$B$2*$F$3/1000</f>
        <v>0.01405313875</v>
      </c>
      <c r="G47" s="18" t="n">
        <f aca="false">LOOKUP(RIGHT(D47,5),Ref!$C$4:$C$21,Ref!$E$4:$E$21)*$G$3</f>
        <v>3</v>
      </c>
      <c r="H47" s="218" t="n">
        <f aca="false">$E47</f>
        <v>5.735975</v>
      </c>
      <c r="I47" s="177" t="n">
        <f aca="false">$E47</f>
        <v>5.735975</v>
      </c>
      <c r="J47" s="177" t="n">
        <f aca="false">$E47</f>
        <v>5.735975</v>
      </c>
      <c r="K47" s="177" t="n">
        <f aca="false">$E47</f>
        <v>5.735975</v>
      </c>
      <c r="L47" s="177" t="n">
        <f aca="false">$E47</f>
        <v>5.735975</v>
      </c>
      <c r="M47" s="177" t="n">
        <f aca="false">M$3*$E47</f>
        <v>6.00800862289969</v>
      </c>
      <c r="N47" s="177" t="n">
        <f aca="false">N$3*$E47</f>
        <v>6.17109562414735</v>
      </c>
      <c r="O47" s="177" t="n">
        <f aca="false">O$3*$E47</f>
        <v>6.41971998064582</v>
      </c>
      <c r="P47" s="177" t="n">
        <f aca="false">P$3*$E47</f>
        <v>6.78236324391516</v>
      </c>
      <c r="Q47" s="177" t="n">
        <f aca="false">Q$3*$E47</f>
        <v>7.27861626944276</v>
      </c>
      <c r="R47" s="177" t="n">
        <f aca="false">R$3*$E47</f>
        <v>7.90153883770944</v>
      </c>
      <c r="S47" s="177" t="n">
        <f aca="false">S$3*$E47</f>
        <v>8.6039625</v>
      </c>
      <c r="T47" s="177" t="n">
        <f aca="false">T$3*$E47</f>
        <v>9.30638616229056</v>
      </c>
      <c r="U47" s="177" t="n">
        <f aca="false">U$3*$E47</f>
        <v>9.92930873055724</v>
      </c>
      <c r="V47" s="177" t="n">
        <f aca="false">V$3*$E47</f>
        <v>10.4255617560848</v>
      </c>
      <c r="W47" s="177" t="n">
        <f aca="false">W$3*$E47</f>
        <v>10.7882050193542</v>
      </c>
      <c r="X47" s="177" t="n">
        <f aca="false">X$3*$E47</f>
        <v>11.0368293758526</v>
      </c>
      <c r="Y47" s="177" t="n">
        <f aca="false">Y$3*$E47</f>
        <v>11.1999163771003</v>
      </c>
      <c r="Z47" s="177" t="n">
        <f aca="false">Z$3*$E47</f>
        <v>11.303815777216</v>
      </c>
      <c r="AA47" s="177" t="n">
        <f aca="false">AA$3*$E47</f>
        <v>11.3687815493127</v>
      </c>
      <c r="AB47" s="177" t="n">
        <f aca="false">AB$3*$E47</f>
        <v>11.4089291717445</v>
      </c>
      <c r="AC47" s="177" t="n">
        <f aca="false">AC$3*$E47</f>
        <v>11.4335599744196</v>
      </c>
      <c r="AD47" s="219" t="n">
        <f aca="false">Algae_electricity_factor/H47</f>
        <v>0.00239603504260902</v>
      </c>
      <c r="AE47" s="220" t="n">
        <f aca="false">Algae_electricity_factor/I47</f>
        <v>0.00239603504260902</v>
      </c>
      <c r="AF47" s="220" t="n">
        <f aca="false">Algae_electricity_factor/J47</f>
        <v>0.00239603504260902</v>
      </c>
      <c r="AG47" s="220" t="n">
        <f aca="false">Algae_electricity_factor/K47</f>
        <v>0.00239603504260902</v>
      </c>
      <c r="AH47" s="220" t="n">
        <f aca="false">Algae_electricity_factor/L47</f>
        <v>0.00239603504260902</v>
      </c>
      <c r="AI47" s="220" t="n">
        <f aca="false">Algae_electricity_factor/M47</f>
        <v>0.00228754616815048</v>
      </c>
      <c r="AJ47" s="220" t="n">
        <f aca="false">Algae_electricity_factor/N47</f>
        <v>0.00222709190402931</v>
      </c>
      <c r="AK47" s="220" t="n">
        <f aca="false">Algae_electricity_factor/O47</f>
        <v>0.00214084058883619</v>
      </c>
      <c r="AL47" s="220" t="n">
        <f aca="false">Algae_electricity_factor/P47</f>
        <v>0.00202637290414361</v>
      </c>
      <c r="AM47" s="220" t="n">
        <f aca="false">Algae_electricity_factor/Q47</f>
        <v>0.00188821564357334</v>
      </c>
      <c r="AN47" s="220" t="n">
        <f aca="false">Algae_electricity_factor/R47</f>
        <v>0.00173935702725893</v>
      </c>
      <c r="AO47" s="220" t="n">
        <f aca="false">Algae_electricity_factor/S47</f>
        <v>0.00159735669507268</v>
      </c>
      <c r="AP47" s="220" t="n">
        <f aca="false">Algae_electricity_factor/T47</f>
        <v>0.00147679205051884</v>
      </c>
      <c r="AQ47" s="220" t="n">
        <f aca="false">Algae_electricity_factor/U47</f>
        <v>0.00138414440284585</v>
      </c>
      <c r="AR47" s="220" t="n">
        <f aca="false">Algae_electricity_factor/V47</f>
        <v>0.00131825962236595</v>
      </c>
      <c r="AS47" s="220" t="n">
        <f aca="false">Algae_electricity_factor/W47</f>
        <v>0.00127394659990917</v>
      </c>
      <c r="AT47" s="220" t="n">
        <f aca="false">Algae_electricity_factor/X47</f>
        <v>0.00124524867020222</v>
      </c>
      <c r="AU47" s="220" t="n">
        <f aca="false">Algae_electricity_factor/Y47</f>
        <v>0.00122711604629744</v>
      </c>
      <c r="AV47" s="220" t="n">
        <f aca="false">Algae_electricity_factor/Z47</f>
        <v>0.00121583696818829</v>
      </c>
      <c r="AW47" s="220" t="n">
        <f aca="false">Algae_electricity_factor/AA47</f>
        <v>0.00120888918868884</v>
      </c>
      <c r="AX47" s="220" t="n">
        <f aca="false">Algae_electricity_factor/AB47</f>
        <v>0.00120463514994614</v>
      </c>
      <c r="AY47" s="220" t="n">
        <f aca="false">Algae_electricity_factor/AC47</f>
        <v>0.00120204005876367</v>
      </c>
      <c r="AZ47" s="221" t="n">
        <f aca="false">Algae_yield_cost_factor/H47</f>
        <v>0.132643991524757</v>
      </c>
      <c r="BA47" s="197" t="n">
        <f aca="false">Algae_yield_cost_factor/I47</f>
        <v>0.132643991524757</v>
      </c>
      <c r="BB47" s="197" t="n">
        <f aca="false">Algae_yield_cost_factor/J47</f>
        <v>0.132643991524757</v>
      </c>
      <c r="BC47" s="197" t="n">
        <f aca="false">Algae_yield_cost_factor/K47</f>
        <v>0.132643991524757</v>
      </c>
      <c r="BD47" s="197" t="n">
        <f aca="false">Algae_yield_cost_factor/L47</f>
        <v>0.132643991524757</v>
      </c>
      <c r="BE47" s="197" t="n">
        <f aca="false">Algae_yield_cost_factor/M47</f>
        <v>0.126638070455865</v>
      </c>
      <c r="BF47" s="197" t="n">
        <f aca="false">Algae_yield_cost_factor/N47</f>
        <v>0.123291335222397</v>
      </c>
      <c r="BG47" s="197" t="n">
        <f aca="false">Algae_yield_cost_factor/O47</f>
        <v>0.118516480715671</v>
      </c>
      <c r="BH47" s="197" t="n">
        <f aca="false">Algae_yield_cost_factor/P47</f>
        <v>0.112179573980915</v>
      </c>
      <c r="BI47" s="197" t="n">
        <f aca="false">Algae_yield_cost_factor/Q47</f>
        <v>0.104531217352452</v>
      </c>
      <c r="BJ47" s="197" t="n">
        <f aca="false">Algae_yield_cost_factor/R47</f>
        <v>0.0962904359408017</v>
      </c>
      <c r="BK47" s="197" t="n">
        <f aca="false">Algae_yield_cost_factor/S47</f>
        <v>0.0884293276831713</v>
      </c>
      <c r="BL47" s="197" t="n">
        <f aca="false">Algae_yield_cost_factor/T47</f>
        <v>0.0817548945442592</v>
      </c>
      <c r="BM47" s="197" t="n">
        <f aca="false">Algae_yield_cost_factor/U47</f>
        <v>0.076625940428737</v>
      </c>
      <c r="BN47" s="197" t="n">
        <f aca="false">Algae_yield_cost_factor/V47</f>
        <v>0.0729785729619946</v>
      </c>
      <c r="BO47" s="197" t="n">
        <f aca="false">Algae_yield_cost_factor/W47</f>
        <v>0.0705254134419263</v>
      </c>
      <c r="BP47" s="197" t="n">
        <f aca="false">Algae_yield_cost_factor/X47</f>
        <v>0.0689367021429956</v>
      </c>
      <c r="BQ47" s="197" t="n">
        <f aca="false">Algae_yield_cost_factor/Y47</f>
        <v>0.0679328839313354</v>
      </c>
      <c r="BR47" s="197" t="n">
        <f aca="false">Algae_yield_cost_factor/Z47</f>
        <v>0.0673084765606119</v>
      </c>
      <c r="BS47" s="197" t="n">
        <f aca="false">Algae_yield_cost_factor/AA47</f>
        <v>0.0669238489618278</v>
      </c>
      <c r="BT47" s="197" t="n">
        <f aca="false">Algae_yield_cost_factor/AB47</f>
        <v>0.0666883462797307</v>
      </c>
      <c r="BU47" s="197" t="n">
        <f aca="false">Algae_yield_cost_factor/AC47</f>
        <v>0.0665446825825429</v>
      </c>
    </row>
    <row r="48" customFormat="false" ht="15" hidden="false" customHeight="false" outlineLevel="0" collapsed="false">
      <c r="A48" s="18" t="s">
        <v>697</v>
      </c>
      <c r="B48" s="18" t="s">
        <v>22</v>
      </c>
      <c r="C48" s="18" t="s">
        <v>682</v>
      </c>
      <c r="D48" s="18" t="s">
        <v>682</v>
      </c>
      <c r="E48" s="28" t="n">
        <v>5.157815</v>
      </c>
      <c r="F48" s="185" t="n">
        <f aca="false">E48/$B$2*$F$3/1000</f>
        <v>0.01263664675</v>
      </c>
      <c r="G48" s="18" t="n">
        <f aca="false">LOOKUP(RIGHT(D48,5),Ref!$C$4:$C$21,Ref!$E$4:$E$21)*$G$3</f>
        <v>3</v>
      </c>
      <c r="H48" s="218" t="n">
        <f aca="false">$E48</f>
        <v>5.157815</v>
      </c>
      <c r="I48" s="177" t="n">
        <f aca="false">$E48</f>
        <v>5.157815</v>
      </c>
      <c r="J48" s="177" t="n">
        <f aca="false">$E48</f>
        <v>5.157815</v>
      </c>
      <c r="K48" s="177" t="n">
        <f aca="false">$E48</f>
        <v>5.157815</v>
      </c>
      <c r="L48" s="177" t="n">
        <f aca="false">$E48</f>
        <v>5.157815</v>
      </c>
      <c r="M48" s="177" t="n">
        <f aca="false">M$3*$E48</f>
        <v>5.40242888006335</v>
      </c>
      <c r="N48" s="177" t="n">
        <f aca="false">N$3*$E48</f>
        <v>5.54907745878627</v>
      </c>
      <c r="O48" s="177" t="n">
        <f aca="false">O$3*$E48</f>
        <v>5.77264161924951</v>
      </c>
      <c r="P48" s="177" t="n">
        <f aca="false">P$3*$E48</f>
        <v>6.09873210307128</v>
      </c>
      <c r="Q48" s="177" t="n">
        <f aca="false">Q$3*$E48</f>
        <v>6.54496509726348</v>
      </c>
      <c r="R48" s="177" t="n">
        <f aca="false">R$3*$E48</f>
        <v>7.10509992463711</v>
      </c>
      <c r="S48" s="177" t="n">
        <f aca="false">S$3*$E48</f>
        <v>7.7367225</v>
      </c>
      <c r="T48" s="177" t="n">
        <f aca="false">T$3*$E48</f>
        <v>8.36834507536289</v>
      </c>
      <c r="U48" s="177" t="n">
        <f aca="false">U$3*$E48</f>
        <v>8.92847990273652</v>
      </c>
      <c r="V48" s="177" t="n">
        <f aca="false">V$3*$E48</f>
        <v>9.37471289692872</v>
      </c>
      <c r="W48" s="177" t="n">
        <f aca="false">W$3*$E48</f>
        <v>9.70080338075049</v>
      </c>
      <c r="X48" s="177" t="n">
        <f aca="false">X$3*$E48</f>
        <v>9.92436754121373</v>
      </c>
      <c r="Y48" s="177" t="n">
        <f aca="false">Y$3*$E48</f>
        <v>10.0710161199366</v>
      </c>
      <c r="Z48" s="177" t="n">
        <f aca="false">Z$3*$E48</f>
        <v>10.1644429365472</v>
      </c>
      <c r="AA48" s="177" t="n">
        <f aca="false">AA$3*$E48</f>
        <v>10.2228604564644</v>
      </c>
      <c r="AB48" s="177" t="n">
        <f aca="false">AB$3*$E48</f>
        <v>10.2589613824958</v>
      </c>
      <c r="AC48" s="177" t="n">
        <f aca="false">AC$3*$E48</f>
        <v>10.28110951311</v>
      </c>
      <c r="AD48" s="219" t="n">
        <f aca="false">Algae_electricity_factor/H48</f>
        <v>0.00266461614143378</v>
      </c>
      <c r="AE48" s="220" t="n">
        <f aca="false">Algae_electricity_factor/I48</f>
        <v>0.00266461614143378</v>
      </c>
      <c r="AF48" s="220" t="n">
        <f aca="false">Algae_electricity_factor/J48</f>
        <v>0.00266461614143378</v>
      </c>
      <c r="AG48" s="220" t="n">
        <f aca="false">Algae_electricity_factor/K48</f>
        <v>0.00266461614143378</v>
      </c>
      <c r="AH48" s="220" t="n">
        <f aca="false">Algae_electricity_factor/L48</f>
        <v>0.00266461614143378</v>
      </c>
      <c r="AI48" s="220" t="n">
        <f aca="false">Algae_electricity_factor/M48</f>
        <v>0.00254396631749238</v>
      </c>
      <c r="AJ48" s="220" t="n">
        <f aca="false">Algae_electricity_factor/N48</f>
        <v>0.00247673549443214</v>
      </c>
      <c r="AK48" s="220" t="n">
        <f aca="false">Algae_electricity_factor/O48</f>
        <v>0.00238081592623033</v>
      </c>
      <c r="AL48" s="220" t="n">
        <f aca="false">Algae_electricity_factor/P48</f>
        <v>0.00225351710343336</v>
      </c>
      <c r="AM48" s="220" t="n">
        <f aca="false">Algae_electricity_factor/Q48</f>
        <v>0.00209987324596667</v>
      </c>
      <c r="AN48" s="220" t="n">
        <f aca="false">Algae_electricity_factor/R48</f>
        <v>0.00193432847522285</v>
      </c>
      <c r="AO48" s="220" t="n">
        <f aca="false">Algae_electricity_factor/S48</f>
        <v>0.00177641076095585</v>
      </c>
      <c r="AP48" s="220" t="n">
        <f aca="false">Algae_electricity_factor/T48</f>
        <v>0.00164233154581442</v>
      </c>
      <c r="AQ48" s="220" t="n">
        <f aca="false">Algae_electricity_factor/U48</f>
        <v>0.00153929865478187</v>
      </c>
      <c r="AR48" s="220" t="n">
        <f aca="false">Algae_electricity_factor/V48</f>
        <v>0.00146602858718285</v>
      </c>
      <c r="AS48" s="220" t="n">
        <f aca="false">Algae_electricity_factor/W48</f>
        <v>0.00141674834177146</v>
      </c>
      <c r="AT48" s="220" t="n">
        <f aca="false">Algae_electricity_factor/X48</f>
        <v>0.00138483354696963</v>
      </c>
      <c r="AU48" s="220" t="n">
        <f aca="false">Algae_electricity_factor/Y48</f>
        <v>0.00136466836512379</v>
      </c>
      <c r="AV48" s="220" t="n">
        <f aca="false">Algae_electricity_factor/Z48</f>
        <v>0.0013521249702837</v>
      </c>
      <c r="AW48" s="220" t="n">
        <f aca="false">Algae_electricity_factor/AA48</f>
        <v>0.00134439838654342</v>
      </c>
      <c r="AX48" s="220" t="n">
        <f aca="false">Algae_electricity_factor/AB48</f>
        <v>0.00133966749567642</v>
      </c>
      <c r="AY48" s="220" t="n">
        <f aca="false">Algae_electricity_factor/AC48</f>
        <v>0.00133678151040061</v>
      </c>
      <c r="AZ48" s="221" t="n">
        <f aca="false">Algae_yield_cost_factor/H48</f>
        <v>0.147512584163297</v>
      </c>
      <c r="BA48" s="197" t="n">
        <f aca="false">Algae_yield_cost_factor/I48</f>
        <v>0.147512584163297</v>
      </c>
      <c r="BB48" s="197" t="n">
        <f aca="false">Algae_yield_cost_factor/J48</f>
        <v>0.147512584163297</v>
      </c>
      <c r="BC48" s="197" t="n">
        <f aca="false">Algae_yield_cost_factor/K48</f>
        <v>0.147512584163297</v>
      </c>
      <c r="BD48" s="197" t="n">
        <f aca="false">Algae_yield_cost_factor/L48</f>
        <v>0.147512584163297</v>
      </c>
      <c r="BE48" s="197" t="n">
        <f aca="false">Algae_yield_cost_factor/M48</f>
        <v>0.140833435511565</v>
      </c>
      <c r="BF48" s="197" t="n">
        <f aca="false">Algae_yield_cost_factor/N48</f>
        <v>0.137111551413203</v>
      </c>
      <c r="BG48" s="197" t="n">
        <f aca="false">Algae_yield_cost_factor/O48</f>
        <v>0.1318014644715</v>
      </c>
      <c r="BH48" s="197" t="n">
        <f aca="false">Algae_yield_cost_factor/P48</f>
        <v>0.124754228654028</v>
      </c>
      <c r="BI48" s="197" t="n">
        <f aca="false">Algae_yield_cost_factor/Q48</f>
        <v>0.116248537307607</v>
      </c>
      <c r="BJ48" s="197" t="n">
        <f aca="false">Algae_yield_cost_factor/R48</f>
        <v>0.107084013927514</v>
      </c>
      <c r="BK48" s="197" t="n">
        <f aca="false">Algae_yield_cost_factor/S48</f>
        <v>0.0983417227755316</v>
      </c>
      <c r="BL48" s="197" t="n">
        <f aca="false">Algae_yield_cost_factor/T48</f>
        <v>0.0909191258766565</v>
      </c>
      <c r="BM48" s="197" t="n">
        <f aca="false">Algae_yield_cost_factor/U48</f>
        <v>0.0852152468924777</v>
      </c>
      <c r="BN48" s="197" t="n">
        <f aca="false">Algae_yield_cost_factor/V48</f>
        <v>0.0811590314979651</v>
      </c>
      <c r="BO48" s="197" t="n">
        <f aca="false">Algae_yield_cost_factor/W48</f>
        <v>0.078430887569165</v>
      </c>
      <c r="BP48" s="197" t="n">
        <f aca="false">Algae_yield_cost_factor/X48</f>
        <v>0.0766640913011942</v>
      </c>
      <c r="BQ48" s="197" t="n">
        <f aca="false">Algae_yield_cost_factor/Y48</f>
        <v>0.0755477511132217</v>
      </c>
      <c r="BR48" s="197" t="n">
        <f aca="false">Algae_yield_cost_factor/Z48</f>
        <v>0.0748533514365591</v>
      </c>
      <c r="BS48" s="197" t="n">
        <f aca="false">Algae_yield_cost_factor/AA48</f>
        <v>0.0744256094002636</v>
      </c>
      <c r="BT48" s="197" t="n">
        <f aca="false">Algae_yield_cost_factor/AB48</f>
        <v>0.0741637082857525</v>
      </c>
      <c r="BU48" s="197" t="n">
        <f aca="false">Algae_yield_cost_factor/AC48</f>
        <v>0.0740039407532844</v>
      </c>
    </row>
    <row r="49" customFormat="false" ht="15" hidden="false" customHeight="false" outlineLevel="0" collapsed="false">
      <c r="A49" s="18" t="s">
        <v>697</v>
      </c>
      <c r="B49" s="18" t="s">
        <v>22</v>
      </c>
      <c r="C49" s="18" t="s">
        <v>683</v>
      </c>
      <c r="D49" s="18" t="s">
        <v>683</v>
      </c>
      <c r="E49" s="28" t="n">
        <v>7.084285</v>
      </c>
      <c r="F49" s="185" t="n">
        <f aca="false">E49/$B$2*$F$3/1000</f>
        <v>0.01735649825</v>
      </c>
      <c r="G49" s="18" t="n">
        <f aca="false">LOOKUP(RIGHT(D49,5),Ref!$C$4:$C$21,Ref!$E$4:$E$21)*$G$3</f>
        <v>3</v>
      </c>
      <c r="H49" s="218" t="n">
        <f aca="false">$E49</f>
        <v>7.084285</v>
      </c>
      <c r="I49" s="177" t="n">
        <f aca="false">$E49</f>
        <v>7.084285</v>
      </c>
      <c r="J49" s="177" t="n">
        <f aca="false">$E49</f>
        <v>7.084285</v>
      </c>
      <c r="K49" s="177" t="n">
        <f aca="false">$E49</f>
        <v>7.084285</v>
      </c>
      <c r="L49" s="177" t="n">
        <f aca="false">$E49</f>
        <v>7.084285</v>
      </c>
      <c r="M49" s="177" t="n">
        <f aca="false">M$3*$E49</f>
        <v>7.42026340196374</v>
      </c>
      <c r="N49" s="177" t="n">
        <f aca="false">N$3*$E49</f>
        <v>7.6216859668518</v>
      </c>
      <c r="O49" s="177" t="n">
        <f aca="false">O$3*$E49</f>
        <v>7.92875247243746</v>
      </c>
      <c r="P49" s="177" t="n">
        <f aca="false">P$3*$E49</f>
        <v>8.37663940191851</v>
      </c>
      <c r="Q49" s="177" t="n">
        <f aca="false">Q$3*$E49</f>
        <v>8.98954267729014</v>
      </c>
      <c r="R49" s="177" t="n">
        <f aca="false">R$3*$E49</f>
        <v>9.75889069685667</v>
      </c>
      <c r="S49" s="177" t="n">
        <f aca="false">S$3*$E49</f>
        <v>10.6264275</v>
      </c>
      <c r="T49" s="177" t="n">
        <f aca="false">T$3*$E49</f>
        <v>11.4939643031433</v>
      </c>
      <c r="U49" s="177" t="n">
        <f aca="false">U$3*$E49</f>
        <v>12.2633123227099</v>
      </c>
      <c r="V49" s="177" t="n">
        <f aca="false">V$3*$E49</f>
        <v>12.8762155980815</v>
      </c>
      <c r="W49" s="177" t="n">
        <f aca="false">W$3*$E49</f>
        <v>13.3241025275625</v>
      </c>
      <c r="X49" s="177" t="n">
        <f aca="false">X$3*$E49</f>
        <v>13.6311690331482</v>
      </c>
      <c r="Y49" s="177" t="n">
        <f aca="false">Y$3*$E49</f>
        <v>13.8325915980363</v>
      </c>
      <c r="Z49" s="177" t="n">
        <f aca="false">Z$3*$E49</f>
        <v>13.9609138033716</v>
      </c>
      <c r="AA49" s="177" t="n">
        <f aca="false">AA$3*$E49</f>
        <v>14.0411505625587</v>
      </c>
      <c r="AB49" s="177" t="n">
        <f aca="false">AB$3*$E49</f>
        <v>14.0907353671262</v>
      </c>
      <c r="AC49" s="177" t="n">
        <f aca="false">AC$3*$E49</f>
        <v>14.1211559365899</v>
      </c>
      <c r="AD49" s="219" t="n">
        <f aca="false">Algae_electricity_factor/H49</f>
        <v>0.00194001188596016</v>
      </c>
      <c r="AE49" s="220" t="n">
        <f aca="false">Algae_electricity_factor/I49</f>
        <v>0.00194001188596016</v>
      </c>
      <c r="AF49" s="220" t="n">
        <f aca="false">Algae_electricity_factor/J49</f>
        <v>0.00194001188596016</v>
      </c>
      <c r="AG49" s="220" t="n">
        <f aca="false">Algae_electricity_factor/K49</f>
        <v>0.00194001188596016</v>
      </c>
      <c r="AH49" s="220" t="n">
        <f aca="false">Algae_electricity_factor/L49</f>
        <v>0.00194001188596016</v>
      </c>
      <c r="AI49" s="220" t="n">
        <f aca="false">Algae_electricity_factor/M49</f>
        <v>0.00185217105633906</v>
      </c>
      <c r="AJ49" s="220" t="n">
        <f aca="false">Algae_electricity_factor/N49</f>
        <v>0.00180322269420478</v>
      </c>
      <c r="AK49" s="220" t="n">
        <f aca="false">Algae_electricity_factor/O49</f>
        <v>0.0017333870809192</v>
      </c>
      <c r="AL49" s="220" t="n">
        <f aca="false">Algae_electricity_factor/P49</f>
        <v>0.00164070535260018</v>
      </c>
      <c r="AM49" s="220" t="n">
        <f aca="false">Algae_electricity_factor/Q49</f>
        <v>0.0015288427450541</v>
      </c>
      <c r="AN49" s="220" t="n">
        <f aca="false">Algae_electricity_factor/R49</f>
        <v>0.00140831550741275</v>
      </c>
      <c r="AO49" s="220" t="n">
        <f aca="false">Algae_electricity_factor/S49</f>
        <v>0.00129334125730677</v>
      </c>
      <c r="AP49" s="220" t="n">
        <f aca="false">Algae_electricity_factor/T49</f>
        <v>0.0011957229673813</v>
      </c>
      <c r="AQ49" s="220" t="n">
        <f aca="false">Algae_electricity_factor/U49</f>
        <v>0.0011207083976878</v>
      </c>
      <c r="AR49" s="220" t="n">
        <f aca="false">Algae_electricity_factor/V49</f>
        <v>0.00106736307720546</v>
      </c>
      <c r="AS49" s="220" t="n">
        <f aca="false">Algae_electricity_factor/W49</f>
        <v>0.00103148388982289</v>
      </c>
      <c r="AT49" s="220" t="n">
        <f aca="false">Algae_electricity_factor/X49</f>
        <v>0.00100824786708371</v>
      </c>
      <c r="AU49" s="220" t="n">
        <f aca="false">Algae_electricity_factor/Y49</f>
        <v>0.000993566318077399</v>
      </c>
      <c r="AV49" s="220" t="n">
        <f aca="false">Algae_electricity_factor/Z49</f>
        <v>0.000984433920092689</v>
      </c>
      <c r="AW49" s="220" t="n">
        <f aca="false">Algae_electricity_factor/AA49</f>
        <v>0.000978808470309913</v>
      </c>
      <c r="AX49" s="220" t="n">
        <f aca="false">Algae_electricity_factor/AB49</f>
        <v>0.000975364077562137</v>
      </c>
      <c r="AY49" s="220" t="n">
        <f aca="false">Algae_electricity_factor/AC49</f>
        <v>0.000973262894712303</v>
      </c>
      <c r="AZ49" s="221" t="n">
        <f aca="false">Algae_yield_cost_factor/H49</f>
        <v>0.107398646339922</v>
      </c>
      <c r="BA49" s="197" t="n">
        <f aca="false">Algae_yield_cost_factor/I49</f>
        <v>0.107398646339922</v>
      </c>
      <c r="BB49" s="197" t="n">
        <f aca="false">Algae_yield_cost_factor/J49</f>
        <v>0.107398646339922</v>
      </c>
      <c r="BC49" s="197" t="n">
        <f aca="false">Algae_yield_cost_factor/K49</f>
        <v>0.107398646339922</v>
      </c>
      <c r="BD49" s="197" t="n">
        <f aca="false">Algae_yield_cost_factor/L49</f>
        <v>0.107398646339922</v>
      </c>
      <c r="BE49" s="197" t="n">
        <f aca="false">Algae_yield_cost_factor/M49</f>
        <v>0.102535796651756</v>
      </c>
      <c r="BF49" s="197" t="n">
        <f aca="false">Algae_yield_cost_factor/N49</f>
        <v>0.099826025710751</v>
      </c>
      <c r="BG49" s="197" t="n">
        <f aca="false">Algae_yield_cost_factor/O49</f>
        <v>0.0959599409782457</v>
      </c>
      <c r="BH49" s="197" t="n">
        <f aca="false">Algae_yield_cost_factor/P49</f>
        <v>0.090829100165391</v>
      </c>
      <c r="BI49" s="197" t="n">
        <f aca="false">Algae_yield_cost_factor/Q49</f>
        <v>0.0846364099486728</v>
      </c>
      <c r="BJ49" s="197" t="n">
        <f aca="false">Algae_yield_cost_factor/R49</f>
        <v>0.077964047648498</v>
      </c>
      <c r="BK49" s="197" t="n">
        <f aca="false">Algae_yield_cost_factor/S49</f>
        <v>0.0715990975599483</v>
      </c>
      <c r="BL49" s="197" t="n">
        <f aca="false">Algae_yield_cost_factor/T49</f>
        <v>0.0661949697440895</v>
      </c>
      <c r="BM49" s="197" t="n">
        <f aca="false">Algae_yield_cost_factor/U49</f>
        <v>0.0620421790838066</v>
      </c>
      <c r="BN49" s="197" t="n">
        <f aca="false">Algae_yield_cost_factor/V49</f>
        <v>0.0590889934616799</v>
      </c>
      <c r="BO49" s="197" t="n">
        <f aca="false">Algae_yield_cost_factor/W49</f>
        <v>0.0571027292616761</v>
      </c>
      <c r="BP49" s="197" t="n">
        <f aca="false">Algae_yield_cost_factor/X49</f>
        <v>0.055816387973475</v>
      </c>
      <c r="BQ49" s="197" t="n">
        <f aca="false">Algae_yield_cost_factor/Y49</f>
        <v>0.0550036205358821</v>
      </c>
      <c r="BR49" s="197" t="n">
        <f aca="false">Algae_yield_cost_factor/Z49</f>
        <v>0.054498052921326</v>
      </c>
      <c r="BS49" s="197" t="n">
        <f aca="false">Algae_yield_cost_factor/AA49</f>
        <v>0.0541866292150613</v>
      </c>
      <c r="BT49" s="197" t="n">
        <f aca="false">Algae_yield_cost_factor/AB49</f>
        <v>0.053995948363438</v>
      </c>
      <c r="BU49" s="197" t="n">
        <f aca="false">Algae_yield_cost_factor/AC49</f>
        <v>0.0538796273267382</v>
      </c>
    </row>
    <row r="50" customFormat="false" ht="15" hidden="false" customHeight="false" outlineLevel="0" collapsed="false">
      <c r="A50" s="18" t="s">
        <v>697</v>
      </c>
      <c r="B50" s="18" t="s">
        <v>22</v>
      </c>
      <c r="C50" s="18" t="s">
        <v>686</v>
      </c>
      <c r="D50" s="18" t="s">
        <v>686</v>
      </c>
      <c r="E50" s="28" t="n">
        <v>6.45028</v>
      </c>
      <c r="F50" s="185" t="n">
        <f aca="false">E50/$B$2*$F$3/1000</f>
        <v>0.015803186</v>
      </c>
      <c r="G50" s="18" t="n">
        <f aca="false">LOOKUP(RIGHT(D50,5),Ref!$C$4:$C$21,Ref!$E$4:$E$21)*$G$3</f>
        <v>4.5</v>
      </c>
      <c r="H50" s="218" t="n">
        <f aca="false">$E50</f>
        <v>6.45028</v>
      </c>
      <c r="I50" s="177" t="n">
        <f aca="false">$E50</f>
        <v>6.45028</v>
      </c>
      <c r="J50" s="177" t="n">
        <f aca="false">$E50</f>
        <v>6.45028</v>
      </c>
      <c r="K50" s="177" t="n">
        <f aca="false">$E50</f>
        <v>6.45028</v>
      </c>
      <c r="L50" s="177" t="n">
        <f aca="false">$E50</f>
        <v>6.45028</v>
      </c>
      <c r="M50" s="177" t="n">
        <f aca="false">M$3*$E50</f>
        <v>6.7561901612398</v>
      </c>
      <c r="N50" s="177" t="n">
        <f aca="false">N$3*$E50</f>
        <v>6.93958650142743</v>
      </c>
      <c r="O50" s="177" t="n">
        <f aca="false">O$3*$E50</f>
        <v>7.21917222386082</v>
      </c>
      <c r="P50" s="177" t="n">
        <f aca="false">P$3*$E50</f>
        <v>7.62697570769767</v>
      </c>
      <c r="Q50" s="177" t="n">
        <f aca="false">Q$3*$E50</f>
        <v>8.18502747143445</v>
      </c>
      <c r="R50" s="177" t="n">
        <f aca="false">R$3*$E50</f>
        <v>8.8855230251353</v>
      </c>
      <c r="S50" s="177" t="n">
        <f aca="false">S$3*$E50</f>
        <v>9.67542</v>
      </c>
      <c r="T50" s="177" t="n">
        <f aca="false">T$3*$E50</f>
        <v>10.4653169748647</v>
      </c>
      <c r="U50" s="177" t="n">
        <f aca="false">U$3*$E50</f>
        <v>11.1658125285655</v>
      </c>
      <c r="V50" s="177" t="n">
        <f aca="false">V$3*$E50</f>
        <v>11.7238642923023</v>
      </c>
      <c r="W50" s="177" t="n">
        <f aca="false">W$3*$E50</f>
        <v>12.1316677761392</v>
      </c>
      <c r="X50" s="177" t="n">
        <f aca="false">X$3*$E50</f>
        <v>12.4112534985726</v>
      </c>
      <c r="Y50" s="177" t="n">
        <f aca="false">Y$3*$E50</f>
        <v>12.5946498387602</v>
      </c>
      <c r="Z50" s="177" t="n">
        <f aca="false">Z$3*$E50</f>
        <v>12.7114879042291</v>
      </c>
      <c r="AA50" s="177" t="n">
        <f aca="false">AA$3*$E50</f>
        <v>12.7845439096057</v>
      </c>
      <c r="AB50" s="177" t="n">
        <f aca="false">AB$3*$E50</f>
        <v>12.8296911436887</v>
      </c>
      <c r="AC50" s="177" t="n">
        <f aca="false">AC$3*$E50</f>
        <v>12.8573892375401</v>
      </c>
      <c r="AD50" s="219" t="n">
        <f aca="false">Algae_electricity_factor/H50</f>
        <v>0.00213069775320285</v>
      </c>
      <c r="AE50" s="220" t="n">
        <f aca="false">Algae_electricity_factor/I50</f>
        <v>0.00213069775320285</v>
      </c>
      <c r="AF50" s="220" t="n">
        <f aca="false">Algae_electricity_factor/J50</f>
        <v>0.00213069775320285</v>
      </c>
      <c r="AG50" s="220" t="n">
        <f aca="false">Algae_electricity_factor/K50</f>
        <v>0.00213069775320285</v>
      </c>
      <c r="AH50" s="220" t="n">
        <f aca="false">Algae_electricity_factor/L50</f>
        <v>0.00213069775320285</v>
      </c>
      <c r="AI50" s="220" t="n">
        <f aca="false">Algae_electricity_factor/M50</f>
        <v>0.0020342229534</v>
      </c>
      <c r="AJ50" s="220" t="n">
        <f aca="false">Algae_electricity_factor/N50</f>
        <v>0.00198046340379247</v>
      </c>
      <c r="AK50" s="220" t="n">
        <f aca="false">Algae_electricity_factor/O50</f>
        <v>0.00190376357251928</v>
      </c>
      <c r="AL50" s="220" t="n">
        <f aca="false">Algae_electricity_factor/P50</f>
        <v>0.00180197205684794</v>
      </c>
      <c r="AM50" s="220" t="n">
        <f aca="false">Algae_electricity_factor/Q50</f>
        <v>0.00167911435257781</v>
      </c>
      <c r="AN50" s="220" t="n">
        <f aca="false">Algae_electricity_factor/R50</f>
        <v>0.00154674036234575</v>
      </c>
      <c r="AO50" s="220" t="n">
        <f aca="false">Algae_electricity_factor/S50</f>
        <v>0.0014204651688019</v>
      </c>
      <c r="AP50" s="220" t="n">
        <f aca="false">Algae_electricity_factor/T50</f>
        <v>0.00131325187154276</v>
      </c>
      <c r="AQ50" s="220" t="n">
        <f aca="false">Algae_electricity_factor/U50</f>
        <v>0.00123086403863301</v>
      </c>
      <c r="AR50" s="220" t="n">
        <f aca="false">Algae_electricity_factor/V50</f>
        <v>0.00117227534888416</v>
      </c>
      <c r="AS50" s="220" t="n">
        <f aca="false">Algae_electricity_factor/W50</f>
        <v>0.00113286955735472</v>
      </c>
      <c r="AT50" s="220" t="n">
        <f aca="false">Algae_electricity_factor/X50</f>
        <v>0.00110734964080058</v>
      </c>
      <c r="AU50" s="220" t="n">
        <f aca="false">Algae_electricity_factor/Y50</f>
        <v>0.00109122502645791</v>
      </c>
      <c r="AV50" s="220" t="n">
        <f aca="false">Algae_electricity_factor/Z50</f>
        <v>0.0010811949951946</v>
      </c>
      <c r="AW50" s="220" t="n">
        <f aca="false">Algae_electricity_factor/AA50</f>
        <v>0.00107501661386629</v>
      </c>
      <c r="AX50" s="220" t="n">
        <f aca="false">Algae_electricity_factor/AB50</f>
        <v>0.00107123366802872</v>
      </c>
      <c r="AY50" s="220" t="n">
        <f aca="false">Algae_electricity_factor/AC50</f>
        <v>0.00106892595764323</v>
      </c>
      <c r="AZ50" s="221" t="n">
        <f aca="false">Algae_yield_cost_factor/H50</f>
        <v>0.117954975487299</v>
      </c>
      <c r="BA50" s="197" t="n">
        <f aca="false">Algae_yield_cost_factor/I50</f>
        <v>0.117954975487299</v>
      </c>
      <c r="BB50" s="197" t="n">
        <f aca="false">Algae_yield_cost_factor/J50</f>
        <v>0.117954975487299</v>
      </c>
      <c r="BC50" s="197" t="n">
        <f aca="false">Algae_yield_cost_factor/K50</f>
        <v>0.117954975487299</v>
      </c>
      <c r="BD50" s="197" t="n">
        <f aca="false">Algae_yield_cost_factor/L50</f>
        <v>0.117954975487299</v>
      </c>
      <c r="BE50" s="197" t="n">
        <f aca="false">Algae_yield_cost_factor/M50</f>
        <v>0.112614151041983</v>
      </c>
      <c r="BF50" s="197" t="n">
        <f aca="false">Algae_yield_cost_factor/N50</f>
        <v>0.109638033783384</v>
      </c>
      <c r="BG50" s="197" t="n">
        <f aca="false">Algae_yield_cost_factor/O50</f>
        <v>0.105391947399659</v>
      </c>
      <c r="BH50" s="197" t="n">
        <f aca="false">Algae_yield_cost_factor/P50</f>
        <v>0.0997567906920594</v>
      </c>
      <c r="BI50" s="197" t="n">
        <f aca="false">Algae_yield_cost_factor/Q50</f>
        <v>0.092955414253836</v>
      </c>
      <c r="BJ50" s="197" t="n">
        <f aca="false">Algae_yield_cost_factor/R50</f>
        <v>0.0856272182440979</v>
      </c>
      <c r="BK50" s="197" t="n">
        <f aca="false">Algae_yield_cost_factor/S50</f>
        <v>0.0786366503248663</v>
      </c>
      <c r="BL50" s="197" t="n">
        <f aca="false">Algae_yield_cost_factor/T50</f>
        <v>0.072701344939058</v>
      </c>
      <c r="BM50" s="197" t="n">
        <f aca="false">Algae_yield_cost_factor/U50</f>
        <v>0.0681403719917159</v>
      </c>
      <c r="BN50" s="197" t="n">
        <f aca="false">Algae_yield_cost_factor/V50</f>
        <v>0.064896914559628</v>
      </c>
      <c r="BO50" s="197" t="n">
        <f aca="false">Algae_yield_cost_factor/W50</f>
        <v>0.062715418302392</v>
      </c>
      <c r="BP50" s="197" t="n">
        <f aca="false">Algae_yield_cost_factor/X50</f>
        <v>0.0613026411372327</v>
      </c>
      <c r="BQ50" s="197" t="n">
        <f aca="false">Algae_yield_cost_factor/Y50</f>
        <v>0.0604099859088352</v>
      </c>
      <c r="BR50" s="197" t="n">
        <f aca="false">Algae_yield_cost_factor/Z50</f>
        <v>0.0598547255064518</v>
      </c>
      <c r="BS50" s="197" t="n">
        <f aca="false">Algae_yield_cost_factor/AA50</f>
        <v>0.0595126916271573</v>
      </c>
      <c r="BT50" s="197" t="n">
        <f aca="false">Algae_yield_cost_factor/AB50</f>
        <v>0.0593032685483233</v>
      </c>
      <c r="BU50" s="197" t="n">
        <f aca="false">Algae_yield_cost_factor/AC50</f>
        <v>0.0591755141910741</v>
      </c>
    </row>
    <row r="51" customFormat="false" ht="15" hidden="false" customHeight="false" outlineLevel="0" collapsed="false">
      <c r="A51" s="18" t="s">
        <v>698</v>
      </c>
      <c r="B51" s="18" t="s">
        <v>22</v>
      </c>
      <c r="C51" s="18" t="s">
        <v>683</v>
      </c>
      <c r="D51" s="18" t="s">
        <v>683</v>
      </c>
      <c r="E51" s="28" t="n">
        <v>5.35309</v>
      </c>
      <c r="F51" s="185" t="n">
        <f aca="false">E51/$B$2*$F$3/1000</f>
        <v>0.0131150705</v>
      </c>
      <c r="G51" s="18" t="n">
        <f aca="false">LOOKUP(RIGHT(D51,5),Ref!$C$4:$C$21,Ref!$E$4:$E$21)*$G$3</f>
        <v>3</v>
      </c>
      <c r="H51" s="218" t="n">
        <f aca="false">$E51</f>
        <v>5.35309</v>
      </c>
      <c r="I51" s="177" t="n">
        <f aca="false">$E51</f>
        <v>5.35309</v>
      </c>
      <c r="J51" s="177" t="n">
        <f aca="false">$E51</f>
        <v>5.35309</v>
      </c>
      <c r="K51" s="177" t="n">
        <f aca="false">$E51</f>
        <v>5.35309</v>
      </c>
      <c r="L51" s="177" t="n">
        <f aca="false">$E51</f>
        <v>5.35309</v>
      </c>
      <c r="M51" s="177" t="n">
        <f aca="false">M$3*$E51</f>
        <v>5.6069649674481</v>
      </c>
      <c r="N51" s="177" t="n">
        <f aca="false">N$3*$E51</f>
        <v>5.75916566488992</v>
      </c>
      <c r="O51" s="177" t="n">
        <f aca="false">O$3*$E51</f>
        <v>5.99119396984738</v>
      </c>
      <c r="P51" s="177" t="n">
        <f aca="false">P$3*$E51</f>
        <v>6.32963024723257</v>
      </c>
      <c r="Q51" s="177" t="n">
        <f aca="false">Q$3*$E51</f>
        <v>6.79275763332151</v>
      </c>
      <c r="R51" s="177" t="n">
        <f aca="false">R$3*$E51</f>
        <v>7.37409917873667</v>
      </c>
      <c r="S51" s="177" t="n">
        <f aca="false">S$3*$E51</f>
        <v>8.029635</v>
      </c>
      <c r="T51" s="177" t="n">
        <f aca="false">T$3*$E51</f>
        <v>8.68517082126334</v>
      </c>
      <c r="U51" s="177" t="n">
        <f aca="false">U$3*$E51</f>
        <v>9.26651236667849</v>
      </c>
      <c r="V51" s="177" t="n">
        <f aca="false">V$3*$E51</f>
        <v>9.72963975276743</v>
      </c>
      <c r="W51" s="177" t="n">
        <f aca="false">W$3*$E51</f>
        <v>10.0680760301526</v>
      </c>
      <c r="X51" s="177" t="n">
        <f aca="false">X$3*$E51</f>
        <v>10.3001043351101</v>
      </c>
      <c r="Y51" s="177" t="n">
        <f aca="false">Y$3*$E51</f>
        <v>10.4523050325519</v>
      </c>
      <c r="Z51" s="177" t="n">
        <f aca="false">Z$3*$E51</f>
        <v>10.5492689906872</v>
      </c>
      <c r="AA51" s="177" t="n">
        <f aca="false">AA$3*$E51</f>
        <v>10.609898199314</v>
      </c>
      <c r="AB51" s="177" t="n">
        <f aca="false">AB$3*$E51</f>
        <v>10.6473659072736</v>
      </c>
      <c r="AC51" s="177" t="n">
        <f aca="false">AC$3*$E51</f>
        <v>10.6703525666457</v>
      </c>
      <c r="AD51" s="219" t="n">
        <f aca="false">Algae_electricity_factor/H51</f>
        <v>0.00256741379344066</v>
      </c>
      <c r="AE51" s="220" t="n">
        <f aca="false">Algae_electricity_factor/I51</f>
        <v>0.00256741379344066</v>
      </c>
      <c r="AF51" s="220" t="n">
        <f aca="false">Algae_electricity_factor/J51</f>
        <v>0.00256741379344066</v>
      </c>
      <c r="AG51" s="220" t="n">
        <f aca="false">Algae_electricity_factor/K51</f>
        <v>0.00256741379344066</v>
      </c>
      <c r="AH51" s="220" t="n">
        <f aca="false">Algae_electricity_factor/L51</f>
        <v>0.00256741379344066</v>
      </c>
      <c r="AI51" s="220" t="n">
        <f aca="false">Algae_electricity_factor/M51</f>
        <v>0.00245116514608515</v>
      </c>
      <c r="AJ51" s="220" t="n">
        <f aca="false">Algae_electricity_factor/N51</f>
        <v>0.00238638683157102</v>
      </c>
      <c r="AK51" s="220" t="n">
        <f aca="false">Algae_electricity_factor/O51</f>
        <v>0.00229396630666581</v>
      </c>
      <c r="AL51" s="220" t="n">
        <f aca="false">Algae_electricity_factor/P51</f>
        <v>0.00217131120882428</v>
      </c>
      <c r="AM51" s="220" t="n">
        <f aca="false">Algae_electricity_factor/Q51</f>
        <v>0.00202327211501126</v>
      </c>
      <c r="AN51" s="220" t="n">
        <f aca="false">Algae_electricity_factor/R51</f>
        <v>0.00186376624051371</v>
      </c>
      <c r="AO51" s="220" t="n">
        <f aca="false">Algae_electricity_factor/S51</f>
        <v>0.00171160919562711</v>
      </c>
      <c r="AP51" s="220" t="n">
        <f aca="false">Algae_electricity_factor/T51</f>
        <v>0.00158242104690465</v>
      </c>
      <c r="AQ51" s="220" t="n">
        <f aca="false">Algae_electricity_factor/U51</f>
        <v>0.00148314668558043</v>
      </c>
      <c r="AR51" s="220" t="n">
        <f aca="false">Algae_electricity_factor/V51</f>
        <v>0.0014125494317115</v>
      </c>
      <c r="AS51" s="220" t="n">
        <f aca="false">Algae_electricity_factor/W51</f>
        <v>0.00136506687696526</v>
      </c>
      <c r="AT51" s="220" t="n">
        <f aca="false">Algae_electricity_factor/X51</f>
        <v>0.00133431629975643</v>
      </c>
      <c r="AU51" s="220" t="n">
        <f aca="false">Algae_electricity_factor/Y51</f>
        <v>0.00131488672218493</v>
      </c>
      <c r="AV51" s="220" t="n">
        <f aca="false">Algae_electricity_factor/Z51</f>
        <v>0.00130280089697798</v>
      </c>
      <c r="AW51" s="220" t="n">
        <f aca="false">Algae_electricity_factor/AA51</f>
        <v>0.00129535617075175</v>
      </c>
      <c r="AX51" s="220" t="n">
        <f aca="false">Algae_electricity_factor/AB51</f>
        <v>0.00129079785772559</v>
      </c>
      <c r="AY51" s="220" t="n">
        <f aca="false">Algae_electricity_factor/AC51</f>
        <v>0.00128801715010712</v>
      </c>
      <c r="AZ51" s="221" t="n">
        <f aca="false">Algae_yield_cost_factor/H51</f>
        <v>0.142131482804552</v>
      </c>
      <c r="BA51" s="197" t="n">
        <f aca="false">Algae_yield_cost_factor/I51</f>
        <v>0.142131482804552</v>
      </c>
      <c r="BB51" s="197" t="n">
        <f aca="false">Algae_yield_cost_factor/J51</f>
        <v>0.142131482804552</v>
      </c>
      <c r="BC51" s="197" t="n">
        <f aca="false">Algae_yield_cost_factor/K51</f>
        <v>0.142131482804552</v>
      </c>
      <c r="BD51" s="197" t="n">
        <f aca="false">Algae_yield_cost_factor/L51</f>
        <v>0.142131482804552</v>
      </c>
      <c r="BE51" s="197" t="n">
        <f aca="false">Algae_yield_cost_factor/M51</f>
        <v>0.135695982354693</v>
      </c>
      <c r="BF51" s="197" t="n">
        <f aca="false">Algae_yield_cost_factor/N51</f>
        <v>0.132109868609025</v>
      </c>
      <c r="BG51" s="197" t="n">
        <f aca="false">Algae_yield_cost_factor/O51</f>
        <v>0.126993487961733</v>
      </c>
      <c r="BH51" s="197" t="n">
        <f aca="false">Algae_yield_cost_factor/P51</f>
        <v>0.120203327772404</v>
      </c>
      <c r="BI51" s="197" t="n">
        <f aca="false">Algae_yield_cost_factor/Q51</f>
        <v>0.112007914952529</v>
      </c>
      <c r="BJ51" s="197" t="n">
        <f aca="false">Algae_yield_cost_factor/R51</f>
        <v>0.103177703587188</v>
      </c>
      <c r="BK51" s="197" t="n">
        <f aca="false">Algae_yield_cost_factor/S51</f>
        <v>0.0947543218697012</v>
      </c>
      <c r="BL51" s="197" t="n">
        <f aca="false">Algae_yield_cost_factor/T51</f>
        <v>0.0876024933699055</v>
      </c>
      <c r="BM51" s="197" t="n">
        <f aca="false">Algae_yield_cost_factor/U51</f>
        <v>0.0821066857928271</v>
      </c>
      <c r="BN51" s="197" t="n">
        <f aca="false">Algae_yield_cost_factor/V51</f>
        <v>0.0781984367992462</v>
      </c>
      <c r="BO51" s="197" t="n">
        <f aca="false">Algae_yield_cost_factor/W51</f>
        <v>0.0755698126442023</v>
      </c>
      <c r="BP51" s="197" t="n">
        <f aca="false">Algae_yield_cost_factor/X51</f>
        <v>0.0738674672151354</v>
      </c>
      <c r="BQ51" s="197" t="n">
        <f aca="false">Algae_yield_cost_factor/Y51</f>
        <v>0.0727918499236967</v>
      </c>
      <c r="BR51" s="197" t="n">
        <f aca="false">Algae_yield_cost_factor/Z51</f>
        <v>0.0721227812048286</v>
      </c>
      <c r="BS51" s="197" t="n">
        <f aca="false">Algae_yield_cost_factor/AA51</f>
        <v>0.0717106427407013</v>
      </c>
      <c r="BT51" s="197" t="n">
        <f aca="false">Algae_yield_cost_factor/AB51</f>
        <v>0.0714582954988387</v>
      </c>
      <c r="BU51" s="197" t="n">
        <f aca="false">Algae_yield_cost_factor/AC51</f>
        <v>0.0713043561151412</v>
      </c>
    </row>
    <row r="52" customFormat="false" ht="15" hidden="false" customHeight="false" outlineLevel="0" collapsed="false">
      <c r="A52" s="18" t="s">
        <v>698</v>
      </c>
      <c r="B52" s="18" t="s">
        <v>22</v>
      </c>
      <c r="C52" s="18" t="s">
        <v>684</v>
      </c>
      <c r="D52" s="18" t="s">
        <v>684</v>
      </c>
      <c r="E52" s="28" t="n">
        <v>5.583405</v>
      </c>
      <c r="F52" s="185" t="n">
        <f aca="false">E52/$B$2*$F$3/1000</f>
        <v>0.01367934225</v>
      </c>
      <c r="G52" s="18" t="n">
        <f aca="false">LOOKUP(RIGHT(D52,5),Ref!$C$4:$C$21,Ref!$E$4:$E$21)*$G$3</f>
        <v>3.5</v>
      </c>
      <c r="H52" s="218" t="n">
        <f aca="false">$E52</f>
        <v>5.583405</v>
      </c>
      <c r="I52" s="177" t="n">
        <f aca="false">$E52</f>
        <v>5.583405</v>
      </c>
      <c r="J52" s="177" t="n">
        <f aca="false">$E52</f>
        <v>5.583405</v>
      </c>
      <c r="K52" s="177" t="n">
        <f aca="false">$E52</f>
        <v>5.583405</v>
      </c>
      <c r="L52" s="177" t="n">
        <f aca="false">$E52</f>
        <v>5.583405</v>
      </c>
      <c r="M52" s="177" t="n">
        <f aca="false">M$3*$E52</f>
        <v>5.84820285742899</v>
      </c>
      <c r="N52" s="177" t="n">
        <f aca="false">N$3*$E52</f>
        <v>6.00695194162151</v>
      </c>
      <c r="O52" s="177" t="n">
        <f aca="false">O$3*$E52</f>
        <v>6.2489631908329</v>
      </c>
      <c r="P52" s="177" t="n">
        <f aca="false">P$3*$E52</f>
        <v>6.60196058174803</v>
      </c>
      <c r="Q52" s="177" t="n">
        <f aca="false">Q$3*$E52</f>
        <v>7.08501387678434</v>
      </c>
      <c r="R52" s="177" t="n">
        <f aca="false">R$3*$E52</f>
        <v>7.69136745787091</v>
      </c>
      <c r="S52" s="177" t="n">
        <f aca="false">S$3*$E52</f>
        <v>8.3751075</v>
      </c>
      <c r="T52" s="177" t="n">
        <f aca="false">T$3*$E52</f>
        <v>9.05884754212909</v>
      </c>
      <c r="U52" s="177" t="n">
        <f aca="false">U$3*$E52</f>
        <v>9.66520112321566</v>
      </c>
      <c r="V52" s="177" t="n">
        <f aca="false">V$3*$E52</f>
        <v>10.148254418252</v>
      </c>
      <c r="W52" s="177" t="n">
        <f aca="false">W$3*$E52</f>
        <v>10.5012518091671</v>
      </c>
      <c r="X52" s="177" t="n">
        <f aca="false">X$3*$E52</f>
        <v>10.7432630583785</v>
      </c>
      <c r="Y52" s="177" t="n">
        <f aca="false">Y$3*$E52</f>
        <v>10.902012142571</v>
      </c>
      <c r="Z52" s="177" t="n">
        <f aca="false">Z$3*$E52</f>
        <v>11.0031479442617</v>
      </c>
      <c r="AA52" s="177" t="n">
        <f aca="false">AA$3*$E52</f>
        <v>11.0663857053666</v>
      </c>
      <c r="AB52" s="177" t="n">
        <f aca="false">AB$3*$E52</f>
        <v>11.1054654495816</v>
      </c>
      <c r="AC52" s="177" t="n">
        <f aca="false">AC$3*$E52</f>
        <v>11.1294411026851</v>
      </c>
      <c r="AD52" s="219" t="n">
        <f aca="false">Algae_electricity_factor/H52</f>
        <v>0.0024615081842584</v>
      </c>
      <c r="AE52" s="220" t="n">
        <f aca="false">Algae_electricity_factor/I52</f>
        <v>0.0024615081842584</v>
      </c>
      <c r="AF52" s="220" t="n">
        <f aca="false">Algae_electricity_factor/J52</f>
        <v>0.0024615081842584</v>
      </c>
      <c r="AG52" s="220" t="n">
        <f aca="false">Algae_electricity_factor/K52</f>
        <v>0.0024615081842584</v>
      </c>
      <c r="AH52" s="220" t="n">
        <f aca="false">Algae_electricity_factor/L52</f>
        <v>0.0024615081842584</v>
      </c>
      <c r="AI52" s="220" t="n">
        <f aca="false">Algae_electricity_factor/M52</f>
        <v>0.002350054784107</v>
      </c>
      <c r="AJ52" s="220" t="n">
        <f aca="false">Algae_electricity_factor/N52</f>
        <v>0.0022879485697732</v>
      </c>
      <c r="AK52" s="220" t="n">
        <f aca="false">Algae_electricity_factor/O52</f>
        <v>0.00219934038396815</v>
      </c>
      <c r="AL52" s="220" t="n">
        <f aca="false">Algae_electricity_factor/P52</f>
        <v>0.00208174479888977</v>
      </c>
      <c r="AM52" s="220" t="n">
        <f aca="false">Algae_electricity_factor/Q52</f>
        <v>0.00193981230559947</v>
      </c>
      <c r="AN52" s="220" t="n">
        <f aca="false">Algae_electricity_factor/R52</f>
        <v>0.00178688603539086</v>
      </c>
      <c r="AO52" s="220" t="n">
        <f aca="false">Algae_electricity_factor/S52</f>
        <v>0.00164100545617227</v>
      </c>
      <c r="AP52" s="220" t="n">
        <f aca="false">Algae_electricity_factor/T52</f>
        <v>0.00151714630802795</v>
      </c>
      <c r="AQ52" s="220" t="n">
        <f aca="false">Algae_electricity_factor/U52</f>
        <v>0.00142196700599611</v>
      </c>
      <c r="AR52" s="220" t="n">
        <f aca="false">Algae_electricity_factor/V52</f>
        <v>0.0013542818830804</v>
      </c>
      <c r="AS52" s="220" t="n">
        <f aca="false">Algae_electricity_factor/W52</f>
        <v>0.00130875797983739</v>
      </c>
      <c r="AT52" s="220" t="n">
        <f aca="false">Algae_electricity_factor/X52</f>
        <v>0.00127927586142563</v>
      </c>
      <c r="AU52" s="220" t="n">
        <f aca="false">Algae_electricity_factor/Y52</f>
        <v>0.00126064775234126</v>
      </c>
      <c r="AV52" s="220" t="n">
        <f aca="false">Algae_electricity_factor/Z52</f>
        <v>0.00124906046643649</v>
      </c>
      <c r="AW52" s="220" t="n">
        <f aca="false">Algae_electricity_factor/AA52</f>
        <v>0.00124192283455874</v>
      </c>
      <c r="AX52" s="220" t="n">
        <f aca="false">Algae_electricity_factor/AB52</f>
        <v>0.00123755255157243</v>
      </c>
      <c r="AY52" s="220" t="n">
        <f aca="false">Algae_electricity_factor/AC52</f>
        <v>0.001234886547916</v>
      </c>
      <c r="AZ52" s="221" t="n">
        <f aca="false">Algae_yield_cost_factor/H52</f>
        <v>0.136268570753191</v>
      </c>
      <c r="BA52" s="197" t="n">
        <f aca="false">Algae_yield_cost_factor/I52</f>
        <v>0.136268570753191</v>
      </c>
      <c r="BB52" s="197" t="n">
        <f aca="false">Algae_yield_cost_factor/J52</f>
        <v>0.136268570753191</v>
      </c>
      <c r="BC52" s="197" t="n">
        <f aca="false">Algae_yield_cost_factor/K52</f>
        <v>0.136268570753191</v>
      </c>
      <c r="BD52" s="197" t="n">
        <f aca="false">Algae_yield_cost_factor/L52</f>
        <v>0.136268570753191</v>
      </c>
      <c r="BE52" s="197" t="n">
        <f aca="false">Algae_yield_cost_factor/M52</f>
        <v>0.130098534171009</v>
      </c>
      <c r="BF52" s="197" t="n">
        <f aca="false">Algae_yield_cost_factor/N52</f>
        <v>0.12666034732431</v>
      </c>
      <c r="BG52" s="197" t="n">
        <f aca="false">Algae_yield_cost_factor/O52</f>
        <v>0.121755016960631</v>
      </c>
      <c r="BH52" s="197" t="n">
        <f aca="false">Algae_yield_cost_factor/P52</f>
        <v>0.115244950324251</v>
      </c>
      <c r="BI52" s="197" t="n">
        <f aca="false">Algae_yield_cost_factor/Q52</f>
        <v>0.107387597613505</v>
      </c>
      <c r="BJ52" s="197" t="n">
        <f aca="false">Algae_yield_cost_factor/R52</f>
        <v>0.0989216317454206</v>
      </c>
      <c r="BK52" s="197" t="n">
        <f aca="false">Algae_yield_cost_factor/S52</f>
        <v>0.0908457138354603</v>
      </c>
      <c r="BL52" s="197" t="n">
        <f aca="false">Algae_yield_cost_factor/T52</f>
        <v>0.0839888976768669</v>
      </c>
      <c r="BM52" s="197" t="n">
        <f aca="false">Algae_yield_cost_factor/U52</f>
        <v>0.0787197917132511</v>
      </c>
      <c r="BN52" s="197" t="n">
        <f aca="false">Algae_yield_cost_factor/V52</f>
        <v>0.0749727576712914</v>
      </c>
      <c r="BO52" s="197" t="n">
        <f aca="false">Algae_yield_cost_factor/W52</f>
        <v>0.0724525640478441</v>
      </c>
      <c r="BP52" s="197" t="n">
        <f aca="false">Algae_yield_cost_factor/X52</f>
        <v>0.0708204402286184</v>
      </c>
      <c r="BQ52" s="197" t="n">
        <f aca="false">Algae_yield_cost_factor/Y52</f>
        <v>0.0697891920625571</v>
      </c>
      <c r="BR52" s="197" t="n">
        <f aca="false">Algae_yield_cost_factor/Z52</f>
        <v>0.0691477223736691</v>
      </c>
      <c r="BS52" s="197" t="n">
        <f aca="false">Algae_yield_cost_factor/AA52</f>
        <v>0.068752584587509</v>
      </c>
      <c r="BT52" s="197" t="n">
        <f aca="false">Algae_yield_cost_factor/AB52</f>
        <v>0.0685106466487526</v>
      </c>
      <c r="BU52" s="197" t="n">
        <f aca="false">Algae_yield_cost_factor/AC52</f>
        <v>0.0683630572520534</v>
      </c>
    </row>
    <row r="53" customFormat="false" ht="15" hidden="false" customHeight="false" outlineLevel="0" collapsed="false">
      <c r="A53" s="18" t="s">
        <v>698</v>
      </c>
      <c r="B53" s="18" t="s">
        <v>22</v>
      </c>
      <c r="C53" s="18" t="s">
        <v>685</v>
      </c>
      <c r="D53" s="18" t="s">
        <v>685</v>
      </c>
      <c r="E53" s="28" t="n">
        <v>5.84949</v>
      </c>
      <c r="F53" s="185" t="n">
        <f aca="false">E53/$B$2*$F$3/1000</f>
        <v>0.0143312505</v>
      </c>
      <c r="G53" s="18" t="n">
        <f aca="false">LOOKUP(RIGHT(D53,5),Ref!$C$4:$C$21,Ref!$E$4:$E$21)*$G$3</f>
        <v>4</v>
      </c>
      <c r="H53" s="218" t="n">
        <f aca="false">$E53</f>
        <v>5.84949</v>
      </c>
      <c r="I53" s="177" t="n">
        <f aca="false">$E53</f>
        <v>5.84949</v>
      </c>
      <c r="J53" s="177" t="n">
        <f aca="false">$E53</f>
        <v>5.84949</v>
      </c>
      <c r="K53" s="177" t="n">
        <f aca="false">$E53</f>
        <v>5.84949</v>
      </c>
      <c r="L53" s="177" t="n">
        <f aca="false">$E53</f>
        <v>5.84949</v>
      </c>
      <c r="M53" s="177" t="n">
        <f aca="false">M$3*$E53</f>
        <v>6.12690717089345</v>
      </c>
      <c r="N53" s="177" t="n">
        <f aca="false">N$3*$E53</f>
        <v>6.29322166545246</v>
      </c>
      <c r="O53" s="177" t="n">
        <f aca="false">O$3*$E53</f>
        <v>6.54676630033916</v>
      </c>
      <c r="P53" s="177" t="n">
        <f aca="false">P$3*$E53</f>
        <v>6.91658627725004</v>
      </c>
      <c r="Q53" s="177" t="n">
        <f aca="false">Q$3*$E53</f>
        <v>7.42266015488957</v>
      </c>
      <c r="R53" s="177" t="n">
        <f aca="false">R$3*$E53</f>
        <v>8.05791036672806</v>
      </c>
      <c r="S53" s="177" t="n">
        <f aca="false">S$3*$E53</f>
        <v>8.774235</v>
      </c>
      <c r="T53" s="177" t="n">
        <f aca="false">T$3*$E53</f>
        <v>9.49055963327194</v>
      </c>
      <c r="U53" s="177" t="n">
        <f aca="false">U$3*$E53</f>
        <v>10.1258098451104</v>
      </c>
      <c r="V53" s="177" t="n">
        <f aca="false">V$3*$E53</f>
        <v>10.63188372275</v>
      </c>
      <c r="W53" s="177" t="n">
        <f aca="false">W$3*$E53</f>
        <v>11.0017036996608</v>
      </c>
      <c r="X53" s="177" t="n">
        <f aca="false">X$3*$E53</f>
        <v>11.2552483345475</v>
      </c>
      <c r="Y53" s="177" t="n">
        <f aca="false">Y$3*$E53</f>
        <v>11.4215628291066</v>
      </c>
      <c r="Z53" s="177" t="n">
        <f aca="false">Z$3*$E53</f>
        <v>11.5275183993423</v>
      </c>
      <c r="AA53" s="177" t="n">
        <f aca="false">AA$3*$E53</f>
        <v>11.5937698446888</v>
      </c>
      <c r="AB53" s="177" t="n">
        <f aca="false">AB$3*$E53</f>
        <v>11.6347119889518</v>
      </c>
      <c r="AC53" s="177" t="n">
        <f aca="false">AC$3*$E53</f>
        <v>11.6598302354469</v>
      </c>
      <c r="AD53" s="219" t="n">
        <f aca="false">Algae_electricity_factor/H53</f>
        <v>0.00234953766969928</v>
      </c>
      <c r="AE53" s="220" t="n">
        <f aca="false">Algae_electricity_factor/I53</f>
        <v>0.00234953766969928</v>
      </c>
      <c r="AF53" s="220" t="n">
        <f aca="false">Algae_electricity_factor/J53</f>
        <v>0.00234953766969928</v>
      </c>
      <c r="AG53" s="220" t="n">
        <f aca="false">Algae_electricity_factor/K53</f>
        <v>0.00234953766969928</v>
      </c>
      <c r="AH53" s="220" t="n">
        <f aca="false">Algae_electricity_factor/L53</f>
        <v>0.00234953766969928</v>
      </c>
      <c r="AI53" s="220" t="n">
        <f aca="false">Algae_electricity_factor/M53</f>
        <v>0.00224315412657462</v>
      </c>
      <c r="AJ53" s="220" t="n">
        <f aca="false">Algae_electricity_factor/N53</f>
        <v>0.0021838730358056</v>
      </c>
      <c r="AK53" s="220" t="n">
        <f aca="false">Algae_electricity_factor/O53</f>
        <v>0.00209929551064275</v>
      </c>
      <c r="AL53" s="220" t="n">
        <f aca="false">Algae_electricity_factor/P53</f>
        <v>0.00198704918186802</v>
      </c>
      <c r="AM53" s="220" t="n">
        <f aca="false">Algae_electricity_factor/Q53</f>
        <v>0.0018515729963032</v>
      </c>
      <c r="AN53" s="220" t="n">
        <f aca="false">Algae_electricity_factor/R53</f>
        <v>0.00170560312513254</v>
      </c>
      <c r="AO53" s="220" t="n">
        <f aca="false">Algae_electricity_factor/S53</f>
        <v>0.00156635844646619</v>
      </c>
      <c r="AP53" s="220" t="n">
        <f aca="false">Algae_electricity_factor/T53</f>
        <v>0.00144813347522174</v>
      </c>
      <c r="AQ53" s="220" t="n">
        <f aca="false">Algae_electricity_factor/U53</f>
        <v>0.00135728374458521</v>
      </c>
      <c r="AR53" s="220" t="n">
        <f aca="false">Algae_electricity_factor/V53</f>
        <v>0.00129267752186952</v>
      </c>
      <c r="AS53" s="220" t="n">
        <f aca="false">Algae_electricity_factor/W53</f>
        <v>0.00124922443638915</v>
      </c>
      <c r="AT53" s="220" t="n">
        <f aca="false">Algae_electricity_factor/X53</f>
        <v>0.00122108341771046</v>
      </c>
      <c r="AU53" s="220" t="n">
        <f aca="false">Algae_electricity_factor/Y53</f>
        <v>0.00120330267487609</v>
      </c>
      <c r="AV53" s="220" t="n">
        <f aca="false">Algae_electricity_factor/Z53</f>
        <v>0.00119224247816542</v>
      </c>
      <c r="AW53" s="220" t="n">
        <f aca="false">Algae_electricity_factor/AA53</f>
        <v>0.00118542952703389</v>
      </c>
      <c r="AX53" s="220" t="n">
        <f aca="false">Algae_electricity_factor/AB53</f>
        <v>0.00118125804201944</v>
      </c>
      <c r="AY53" s="220" t="n">
        <f aca="false">Algae_electricity_factor/AC53</f>
        <v>0.00117871331108643</v>
      </c>
      <c r="AZ53" s="221" t="n">
        <f aca="false">Algae_yield_cost_factor/H53</f>
        <v>0.130069906827128</v>
      </c>
      <c r="BA53" s="197" t="n">
        <f aca="false">Algae_yield_cost_factor/I53</f>
        <v>0.130069906827128</v>
      </c>
      <c r="BB53" s="197" t="n">
        <f aca="false">Algae_yield_cost_factor/J53</f>
        <v>0.130069906827128</v>
      </c>
      <c r="BC53" s="197" t="n">
        <f aca="false">Algae_yield_cost_factor/K53</f>
        <v>0.130069906827128</v>
      </c>
      <c r="BD53" s="197" t="n">
        <f aca="false">Algae_yield_cost_factor/L53</f>
        <v>0.130069906827128</v>
      </c>
      <c r="BE53" s="197" t="n">
        <f aca="false">Algae_yield_cost_factor/M53</f>
        <v>0.124180536454132</v>
      </c>
      <c r="BF53" s="197" t="n">
        <f aca="false">Algae_yield_cost_factor/N53</f>
        <v>0.120898747848494</v>
      </c>
      <c r="BG53" s="197" t="n">
        <f aca="false">Algae_yield_cost_factor/O53</f>
        <v>0.116216554002669</v>
      </c>
      <c r="BH53" s="197" t="n">
        <f aca="false">Algae_yield_cost_factor/P53</f>
        <v>0.110002621060157</v>
      </c>
      <c r="BI53" s="197" t="n">
        <f aca="false">Algae_yield_cost_factor/Q53</f>
        <v>0.102502688175077</v>
      </c>
      <c r="BJ53" s="197" t="n">
        <f aca="false">Algae_yield_cost_factor/R53</f>
        <v>0.0944218270815986</v>
      </c>
      <c r="BK53" s="197" t="n">
        <f aca="false">Algae_yield_cost_factor/S53</f>
        <v>0.0867132712180854</v>
      </c>
      <c r="BL53" s="197" t="n">
        <f aca="false">Algae_yield_cost_factor/T53</f>
        <v>0.0801683618971068</v>
      </c>
      <c r="BM53" s="197" t="n">
        <f aca="false">Algae_yield_cost_factor/U53</f>
        <v>0.0751389400872085</v>
      </c>
      <c r="BN53" s="197" t="n">
        <f aca="false">Algae_yield_cost_factor/V53</f>
        <v>0.0715623533069852</v>
      </c>
      <c r="BO53" s="197" t="n">
        <f aca="false">Algae_yield_cost_factor/W53</f>
        <v>0.0691567997154543</v>
      </c>
      <c r="BP53" s="197" t="n">
        <f aca="false">Algae_yield_cost_factor/X53</f>
        <v>0.0675989188928726</v>
      </c>
      <c r="BQ53" s="197" t="n">
        <f aca="false">Algae_yield_cost_factor/Y53</f>
        <v>0.0666145807426018</v>
      </c>
      <c r="BR53" s="197" t="n">
        <f aca="false">Algae_yield_cost_factor/Z53</f>
        <v>0.0660022905996516</v>
      </c>
      <c r="BS53" s="197" t="n">
        <f aca="false">Algae_yield_cost_factor/AA53</f>
        <v>0.0656251270707054</v>
      </c>
      <c r="BT53" s="197" t="n">
        <f aca="false">Algae_yield_cost_factor/AB53</f>
        <v>0.0653941945454866</v>
      </c>
      <c r="BU53" s="197" t="n">
        <f aca="false">Algae_yield_cost_factor/AC53</f>
        <v>0.0652533187810222</v>
      </c>
    </row>
    <row r="54" customFormat="false" ht="15" hidden="false" customHeight="false" outlineLevel="0" collapsed="false">
      <c r="A54" s="18" t="s">
        <v>698</v>
      </c>
      <c r="B54" s="18" t="s">
        <v>22</v>
      </c>
      <c r="C54" s="18" t="s">
        <v>686</v>
      </c>
      <c r="D54" s="18" t="s">
        <v>686</v>
      </c>
      <c r="E54" s="28" t="n">
        <v>5.779775</v>
      </c>
      <c r="F54" s="185" t="n">
        <f aca="false">E54/$B$2*$F$3/1000</f>
        <v>0.01416044875</v>
      </c>
      <c r="G54" s="18" t="n">
        <f aca="false">LOOKUP(RIGHT(D54,5),Ref!$C$4:$C$21,Ref!$E$4:$E$21)*$G$3</f>
        <v>4.5</v>
      </c>
      <c r="H54" s="218" t="n">
        <f aca="false">$E54</f>
        <v>5.779775</v>
      </c>
      <c r="I54" s="177" t="n">
        <f aca="false">$E54</f>
        <v>5.779775</v>
      </c>
      <c r="J54" s="177" t="n">
        <f aca="false">$E54</f>
        <v>5.779775</v>
      </c>
      <c r="K54" s="177" t="n">
        <f aca="false">$E54</f>
        <v>5.779775</v>
      </c>
      <c r="L54" s="177" t="n">
        <f aca="false">$E54</f>
        <v>5.779775</v>
      </c>
      <c r="M54" s="177" t="n">
        <f aca="false">M$3*$E54</f>
        <v>6.05388587614487</v>
      </c>
      <c r="N54" s="177" t="n">
        <f aca="false">N$3*$E54</f>
        <v>6.21821821243228</v>
      </c>
      <c r="O54" s="177" t="n">
        <f aca="false">O$3*$E54</f>
        <v>6.46874106863038</v>
      </c>
      <c r="P54" s="177" t="n">
        <f aca="false">P$3*$E54</f>
        <v>6.83415348185788</v>
      </c>
      <c r="Q54" s="177" t="n">
        <f aca="false">Q$3*$E54</f>
        <v>7.33419590369876</v>
      </c>
      <c r="R54" s="177" t="n">
        <f aca="false">R$3*$E54</f>
        <v>7.9618751190028</v>
      </c>
      <c r="S54" s="177" t="n">
        <f aca="false">S$3*$E54</f>
        <v>8.6696625</v>
      </c>
      <c r="T54" s="177" t="n">
        <f aca="false">T$3*$E54</f>
        <v>9.3774498809972</v>
      </c>
      <c r="U54" s="177" t="n">
        <f aca="false">U$3*$E54</f>
        <v>10.0051290963012</v>
      </c>
      <c r="V54" s="177" t="n">
        <f aca="false">V$3*$E54</f>
        <v>10.5051715181421</v>
      </c>
      <c r="W54" s="177" t="n">
        <f aca="false">W$3*$E54</f>
        <v>10.8705839313696</v>
      </c>
      <c r="X54" s="177" t="n">
        <f aca="false">X$3*$E54</f>
        <v>11.1211067875677</v>
      </c>
      <c r="Y54" s="177" t="n">
        <f aca="false">Y$3*$E54</f>
        <v>11.2854391238551</v>
      </c>
      <c r="Z54" s="177" t="n">
        <f aca="false">Z$3*$E54</f>
        <v>11.3901319015091</v>
      </c>
      <c r="AA54" s="177" t="n">
        <f aca="false">AA$3*$E54</f>
        <v>11.4555937533164</v>
      </c>
      <c r="AB54" s="177" t="n">
        <f aca="false">AB$3*$E54</f>
        <v>11.4960479436573</v>
      </c>
      <c r="AC54" s="177" t="n">
        <f aca="false">AC$3*$E54</f>
        <v>11.5208668275491</v>
      </c>
      <c r="AD54" s="219" t="n">
        <f aca="false">Algae_electricity_factor/H54</f>
        <v>0.00237787753044526</v>
      </c>
      <c r="AE54" s="220" t="n">
        <f aca="false">Algae_electricity_factor/I54</f>
        <v>0.00237787753044526</v>
      </c>
      <c r="AF54" s="220" t="n">
        <f aca="false">Algae_electricity_factor/J54</f>
        <v>0.00237787753044526</v>
      </c>
      <c r="AG54" s="220" t="n">
        <f aca="false">Algae_electricity_factor/K54</f>
        <v>0.00237787753044526</v>
      </c>
      <c r="AH54" s="220" t="n">
        <f aca="false">Algae_electricity_factor/L54</f>
        <v>0.00237787753044526</v>
      </c>
      <c r="AI54" s="220" t="n">
        <f aca="false">Algae_electricity_factor/M54</f>
        <v>0.00227021080091474</v>
      </c>
      <c r="AJ54" s="220" t="n">
        <f aca="false">Algae_electricity_factor/N54</f>
        <v>0.00221021466825517</v>
      </c>
      <c r="AK54" s="220" t="n">
        <f aca="false">Algae_electricity_factor/O54</f>
        <v>0.00212461697843769</v>
      </c>
      <c r="AL54" s="220" t="n">
        <f aca="false">Algae_electricity_factor/P54</f>
        <v>0.00201101674699191</v>
      </c>
      <c r="AM54" s="220" t="n">
        <f aca="false">Algae_electricity_factor/Q54</f>
        <v>0.00187390646282002</v>
      </c>
      <c r="AN54" s="220" t="n">
        <f aca="false">Algae_electricity_factor/R54</f>
        <v>0.00172617591937948</v>
      </c>
      <c r="AO54" s="220" t="n">
        <f aca="false">Algae_electricity_factor/S54</f>
        <v>0.00158525168696351</v>
      </c>
      <c r="AP54" s="220" t="n">
        <f aca="false">Algae_electricity_factor/T54</f>
        <v>0.00146560069933083</v>
      </c>
      <c r="AQ54" s="220" t="n">
        <f aca="false">Algae_electricity_factor/U54</f>
        <v>0.00137365514939833</v>
      </c>
      <c r="AR54" s="220" t="n">
        <f aca="false">Algae_electricity_factor/V54</f>
        <v>0.00130826965364578</v>
      </c>
      <c r="AS54" s="220" t="n">
        <f aca="false">Algae_electricity_factor/W54</f>
        <v>0.00126429244190543</v>
      </c>
      <c r="AT54" s="220" t="n">
        <f aca="false">Algae_electricity_factor/X54</f>
        <v>0.00123581198940498</v>
      </c>
      <c r="AU54" s="220" t="n">
        <f aca="false">Algae_electricity_factor/Y54</f>
        <v>0.00121781677723803</v>
      </c>
      <c r="AV54" s="220" t="n">
        <f aca="false">Algae_electricity_factor/Z54</f>
        <v>0.00120662317367092</v>
      </c>
      <c r="AW54" s="220" t="n">
        <f aca="false">Algae_electricity_factor/AA54</f>
        <v>0.00119972804548438</v>
      </c>
      <c r="AX54" s="220" t="n">
        <f aca="false">Algae_electricity_factor/AB54</f>
        <v>0.00119550624448396</v>
      </c>
      <c r="AY54" s="220" t="n">
        <f aca="false">Algae_electricity_factor/AC54</f>
        <v>0.00119293081929088</v>
      </c>
      <c r="AZ54" s="221" t="n">
        <f aca="false">Algae_yield_cost_factor/H54</f>
        <v>0.131638795504361</v>
      </c>
      <c r="BA54" s="197" t="n">
        <f aca="false">Algae_yield_cost_factor/I54</f>
        <v>0.131638795504361</v>
      </c>
      <c r="BB54" s="197" t="n">
        <f aca="false">Algae_yield_cost_factor/J54</f>
        <v>0.131638795504361</v>
      </c>
      <c r="BC54" s="197" t="n">
        <f aca="false">Algae_yield_cost_factor/K54</f>
        <v>0.131638795504361</v>
      </c>
      <c r="BD54" s="197" t="n">
        <f aca="false">Algae_yield_cost_factor/L54</f>
        <v>0.131638795504361</v>
      </c>
      <c r="BE54" s="197" t="n">
        <f aca="false">Algae_yield_cost_factor/M54</f>
        <v>0.125678388204226</v>
      </c>
      <c r="BF54" s="197" t="n">
        <f aca="false">Algae_yield_cost_factor/N54</f>
        <v>0.122357015031258</v>
      </c>
      <c r="BG54" s="197" t="n">
        <f aca="false">Algae_yield_cost_factor/O54</f>
        <v>0.117618345086629</v>
      </c>
      <c r="BH54" s="197" t="n">
        <f aca="false">Algae_yield_cost_factor/P54</f>
        <v>0.111329460379544</v>
      </c>
      <c r="BI54" s="197" t="n">
        <f aca="false">Algae_yield_cost_factor/Q54</f>
        <v>0.10373906414233</v>
      </c>
      <c r="BJ54" s="197" t="n">
        <f aca="false">Algae_yield_cost_factor/R54</f>
        <v>0.0955607326056014</v>
      </c>
      <c r="BK54" s="197" t="n">
        <f aca="false">Algae_yield_cost_factor/S54</f>
        <v>0.0877591970029073</v>
      </c>
      <c r="BL54" s="197" t="n">
        <f aca="false">Algae_yield_cost_factor/T54</f>
        <v>0.081135343717274</v>
      </c>
      <c r="BM54" s="197" t="n">
        <f aca="false">Algae_yield_cost_factor/U54</f>
        <v>0.0760452575836819</v>
      </c>
      <c r="BN54" s="197" t="n">
        <f aca="false">Algae_yield_cost_factor/V54</f>
        <v>0.0724255304134983</v>
      </c>
      <c r="BO54" s="197" t="n">
        <f aca="false">Algae_yield_cost_factor/W54</f>
        <v>0.0699909613034336</v>
      </c>
      <c r="BP54" s="197" t="n">
        <f aca="false">Algae_yield_cost_factor/X54</f>
        <v>0.0684142894965062</v>
      </c>
      <c r="BQ54" s="197" t="n">
        <f aca="false">Algae_yield_cost_factor/Y54</f>
        <v>0.0674180783694939</v>
      </c>
      <c r="BR54" s="197" t="n">
        <f aca="false">Algae_yield_cost_factor/Z54</f>
        <v>0.0667984028512799</v>
      </c>
      <c r="BS54" s="197" t="n">
        <f aca="false">Algae_yield_cost_factor/AA54</f>
        <v>0.066416690018006</v>
      </c>
      <c r="BT54" s="197" t="n">
        <f aca="false">Algae_yield_cost_factor/AB54</f>
        <v>0.0661829720104811</v>
      </c>
      <c r="BU54" s="197" t="n">
        <f aca="false">Algae_yield_cost_factor/AC54</f>
        <v>0.0660403970182925</v>
      </c>
    </row>
    <row r="55" customFormat="false" ht="15" hidden="false" customHeight="false" outlineLevel="0" collapsed="false">
      <c r="A55" s="18" t="s">
        <v>698</v>
      </c>
      <c r="B55" s="18" t="s">
        <v>22</v>
      </c>
      <c r="C55" s="18" t="s">
        <v>687</v>
      </c>
      <c r="D55" s="18" t="s">
        <v>687</v>
      </c>
      <c r="E55" s="28" t="n">
        <v>5.690715</v>
      </c>
      <c r="F55" s="185" t="n">
        <f aca="false">E55/$B$2*$F$3/1000</f>
        <v>0.01394225175</v>
      </c>
      <c r="G55" s="18" t="n">
        <f aca="false">LOOKUP(RIGHT(D55,5),Ref!$C$4:$C$21,Ref!$E$4:$E$21)*$G$3</f>
        <v>4.5</v>
      </c>
      <c r="H55" s="218" t="n">
        <f aca="false">$E55</f>
        <v>5.690715</v>
      </c>
      <c r="I55" s="177" t="n">
        <f aca="false">$E55</f>
        <v>5.690715</v>
      </c>
      <c r="J55" s="177" t="n">
        <f aca="false">$E55</f>
        <v>5.690715</v>
      </c>
      <c r="K55" s="177" t="n">
        <f aca="false">$E55</f>
        <v>5.690715</v>
      </c>
      <c r="L55" s="177" t="n">
        <f aca="false">$E55</f>
        <v>5.690715</v>
      </c>
      <c r="M55" s="177" t="n">
        <f aca="false">M$3*$E55</f>
        <v>5.96060212787968</v>
      </c>
      <c r="N55" s="177" t="n">
        <f aca="false">N$3*$E55</f>
        <v>6.12240228291959</v>
      </c>
      <c r="O55" s="177" t="n">
        <f aca="false">O$3*$E55</f>
        <v>6.3690648563951</v>
      </c>
      <c r="P55" s="177" t="n">
        <f aca="false">P$3*$E55</f>
        <v>6.72884666470769</v>
      </c>
      <c r="Q55" s="177" t="n">
        <f aca="false">Q$3*$E55</f>
        <v>7.22118398071155</v>
      </c>
      <c r="R55" s="177" t="n">
        <f aca="false">R$3*$E55</f>
        <v>7.83919134703964</v>
      </c>
      <c r="S55" s="177" t="n">
        <f aca="false">S$3*$E55</f>
        <v>8.5360725</v>
      </c>
      <c r="T55" s="177" t="n">
        <f aca="false">T$3*$E55</f>
        <v>9.23295365296036</v>
      </c>
      <c r="U55" s="177" t="n">
        <f aca="false">U$3*$E55</f>
        <v>9.85096101928845</v>
      </c>
      <c r="V55" s="177" t="n">
        <f aca="false">V$3*$E55</f>
        <v>10.3432983352923</v>
      </c>
      <c r="W55" s="177" t="n">
        <f aca="false">W$3*$E55</f>
        <v>10.7030801436049</v>
      </c>
      <c r="X55" s="177" t="n">
        <f aca="false">X$3*$E55</f>
        <v>10.9497427170804</v>
      </c>
      <c r="Y55" s="177" t="n">
        <f aca="false">Y$3*$E55</f>
        <v>11.1115428721203</v>
      </c>
      <c r="Z55" s="177" t="n">
        <f aca="false">Z$3*$E55</f>
        <v>11.2146224487798</v>
      </c>
      <c r="AA55" s="177" t="n">
        <f aca="false">AA$3*$E55</f>
        <v>11.2790756051756</v>
      </c>
      <c r="AB55" s="177" t="n">
        <f aca="false">AB$3*$E55</f>
        <v>11.3189064407679</v>
      </c>
      <c r="AC55" s="177" t="n">
        <f aca="false">AC$3*$E55</f>
        <v>11.3433428928524</v>
      </c>
      <c r="AD55" s="219" t="n">
        <f aca="false">Algae_electricity_factor/H55</f>
        <v>0.00241509144343536</v>
      </c>
      <c r="AE55" s="220" t="n">
        <f aca="false">Algae_electricity_factor/I55</f>
        <v>0.00241509144343536</v>
      </c>
      <c r="AF55" s="220" t="n">
        <f aca="false">Algae_electricity_factor/J55</f>
        <v>0.00241509144343536</v>
      </c>
      <c r="AG55" s="220" t="n">
        <f aca="false">Algae_electricity_factor/K55</f>
        <v>0.00241509144343536</v>
      </c>
      <c r="AH55" s="220" t="n">
        <f aca="false">Algae_electricity_factor/L55</f>
        <v>0.00241509144343536</v>
      </c>
      <c r="AI55" s="220" t="n">
        <f aca="false">Algae_electricity_factor/M55</f>
        <v>0.00230573972371784</v>
      </c>
      <c r="AJ55" s="220" t="n">
        <f aca="false">Algae_electricity_factor/N55</f>
        <v>0.00224480464831124</v>
      </c>
      <c r="AK55" s="220" t="n">
        <f aca="false">Algae_electricity_factor/O55</f>
        <v>0.00215786734998145</v>
      </c>
      <c r="AL55" s="220" t="n">
        <f aca="false">Algae_electricity_factor/P55</f>
        <v>0.00204248926872021</v>
      </c>
      <c r="AM55" s="220" t="n">
        <f aca="false">Algae_electricity_factor/Q55</f>
        <v>0.00190323320112598</v>
      </c>
      <c r="AN55" s="220" t="n">
        <f aca="false">Algae_electricity_factor/R55</f>
        <v>0.00175319066662652</v>
      </c>
      <c r="AO55" s="220" t="n">
        <f aca="false">Algae_electricity_factor/S55</f>
        <v>0.00161006096229024</v>
      </c>
      <c r="AP55" s="220" t="n">
        <f aca="false">Algae_electricity_factor/T55</f>
        <v>0.0014885374301779</v>
      </c>
      <c r="AQ55" s="220" t="n">
        <f aca="false">Algae_electricity_factor/U55</f>
        <v>0.00139515292737621</v>
      </c>
      <c r="AR55" s="220" t="n">
        <f aca="false">Algae_electricity_factor/V55</f>
        <v>0.00132874414505041</v>
      </c>
      <c r="AS55" s="220" t="n">
        <f aca="false">Algae_electricity_factor/W55</f>
        <v>0.00128407868754875</v>
      </c>
      <c r="AT55" s="220" t="n">
        <f aca="false">Algae_electricity_factor/X55</f>
        <v>0.00125515251441395</v>
      </c>
      <c r="AU55" s="220" t="n">
        <f aca="false">Algae_electricity_factor/Y55</f>
        <v>0.00123687567619551</v>
      </c>
      <c r="AV55" s="220" t="n">
        <f aca="false">Algae_electricity_factor/Z55</f>
        <v>0.00122550689212231</v>
      </c>
      <c r="AW55" s="220" t="n">
        <f aca="false">Algae_electricity_factor/AA55</f>
        <v>0.00121850385480374</v>
      </c>
      <c r="AX55" s="220" t="n">
        <f aca="false">Algae_electricity_factor/AB55</f>
        <v>0.0012142159823875</v>
      </c>
      <c r="AY55" s="220" t="n">
        <f aca="false">Algae_electricity_factor/AC55</f>
        <v>0.00121160025164974</v>
      </c>
      <c r="AZ55" s="221" t="n">
        <f aca="false">Algae_yield_cost_factor/H55</f>
        <v>0.133698949830771</v>
      </c>
      <c r="BA55" s="197" t="n">
        <f aca="false">Algae_yield_cost_factor/I55</f>
        <v>0.133698949830771</v>
      </c>
      <c r="BB55" s="197" t="n">
        <f aca="false">Algae_yield_cost_factor/J55</f>
        <v>0.133698949830771</v>
      </c>
      <c r="BC55" s="197" t="n">
        <f aca="false">Algae_yield_cost_factor/K55</f>
        <v>0.133698949830771</v>
      </c>
      <c r="BD55" s="197" t="n">
        <f aca="false">Algae_yield_cost_factor/L55</f>
        <v>0.133698949830771</v>
      </c>
      <c r="BE55" s="197" t="n">
        <f aca="false">Algae_yield_cost_factor/M55</f>
        <v>0.127645261831436</v>
      </c>
      <c r="BF55" s="197" t="n">
        <f aca="false">Algae_yield_cost_factor/N55</f>
        <v>0.124271908987234</v>
      </c>
      <c r="BG55" s="197" t="n">
        <f aca="false">Algae_yield_cost_factor/O55</f>
        <v>0.119459078599626</v>
      </c>
      <c r="BH55" s="197" t="n">
        <f aca="false">Algae_yield_cost_factor/P55</f>
        <v>0.113071772504014</v>
      </c>
      <c r="BI55" s="197" t="n">
        <f aca="false">Algae_yield_cost_factor/Q55</f>
        <v>0.105362586151869</v>
      </c>
      <c r="BJ55" s="197" t="n">
        <f aca="false">Algae_yield_cost_factor/R55</f>
        <v>0.0970562632807196</v>
      </c>
      <c r="BK55" s="197" t="n">
        <f aca="false">Algae_yield_cost_factor/S55</f>
        <v>0.0891326332205142</v>
      </c>
      <c r="BL55" s="197" t="n">
        <f aca="false">Algae_yield_cost_factor/T55</f>
        <v>0.0824051162698373</v>
      </c>
      <c r="BM55" s="197" t="n">
        <f aca="false">Algae_yield_cost_factor/U55</f>
        <v>0.07723537001075</v>
      </c>
      <c r="BN55" s="197" t="n">
        <f aca="false">Algae_yield_cost_factor/V55</f>
        <v>0.0735589939130104</v>
      </c>
      <c r="BO55" s="197" t="n">
        <f aca="false">Algae_yield_cost_factor/W55</f>
        <v>0.0710863236636438</v>
      </c>
      <c r="BP55" s="197" t="n">
        <f aca="false">Algae_yield_cost_factor/X55</f>
        <v>0.06948497685698</v>
      </c>
      <c r="BQ55" s="197" t="n">
        <f aca="false">Algae_yield_cost_factor/Y55</f>
        <v>0.0684731749715179</v>
      </c>
      <c r="BR55" s="197" t="n">
        <f aca="false">Algae_yield_cost_factor/Z55</f>
        <v>0.06784380149766</v>
      </c>
      <c r="BS55" s="197" t="n">
        <f aca="false">Algae_yield_cost_factor/AA55</f>
        <v>0.0674561148377349</v>
      </c>
      <c r="BT55" s="197" t="n">
        <f aca="false">Algae_yield_cost_factor/AB55</f>
        <v>0.0672187391306503</v>
      </c>
      <c r="BU55" s="197" t="n">
        <f aca="false">Algae_yield_cost_factor/AC55</f>
        <v>0.0670739328320609</v>
      </c>
    </row>
    <row r="56" customFormat="false" ht="15" hidden="false" customHeight="false" outlineLevel="0" collapsed="false">
      <c r="A56" s="18" t="s">
        <v>698</v>
      </c>
      <c r="B56" s="18" t="s">
        <v>22</v>
      </c>
      <c r="C56" s="18" t="s">
        <v>688</v>
      </c>
      <c r="D56" s="18" t="s">
        <v>688</v>
      </c>
      <c r="E56" s="28" t="n">
        <v>5.574864</v>
      </c>
      <c r="F56" s="185" t="n">
        <f aca="false">E56/$B$2*$F$3/1000</f>
        <v>0.0136584168</v>
      </c>
      <c r="G56" s="18" t="n">
        <f aca="false">LOOKUP(RIGHT(D56,5),Ref!$C$4:$C$21,Ref!$E$4:$E$21)*$G$3</f>
        <v>4.5</v>
      </c>
      <c r="H56" s="218" t="n">
        <f aca="false">$E56</f>
        <v>5.574864</v>
      </c>
      <c r="I56" s="177" t="n">
        <f aca="false">$E56</f>
        <v>5.574864</v>
      </c>
      <c r="J56" s="177" t="n">
        <f aca="false">$E56</f>
        <v>5.574864</v>
      </c>
      <c r="K56" s="177" t="n">
        <f aca="false">$E56</f>
        <v>5.574864</v>
      </c>
      <c r="L56" s="177" t="n">
        <f aca="false">$E56</f>
        <v>5.574864</v>
      </c>
      <c r="M56" s="177" t="n">
        <f aca="false">M$3*$E56</f>
        <v>5.83925679304618</v>
      </c>
      <c r="N56" s="177" t="n">
        <f aca="false">N$3*$E56</f>
        <v>5.99776303690595</v>
      </c>
      <c r="O56" s="177" t="n">
        <f aca="false">O$3*$E56</f>
        <v>6.23940407867591</v>
      </c>
      <c r="P56" s="177" t="n">
        <f aca="false">P$3*$E56</f>
        <v>6.5918614853492</v>
      </c>
      <c r="Q56" s="177" t="n">
        <f aca="false">Q$3*$E56</f>
        <v>7.07417584810442</v>
      </c>
      <c r="R56" s="177" t="n">
        <f aca="false">R$3*$E56</f>
        <v>7.6796018830187</v>
      </c>
      <c r="S56" s="177" t="n">
        <f aca="false">S$3*$E56</f>
        <v>8.362296</v>
      </c>
      <c r="T56" s="177" t="n">
        <f aca="false">T$3*$E56</f>
        <v>9.04499011698129</v>
      </c>
      <c r="U56" s="177" t="n">
        <f aca="false">U$3*$E56</f>
        <v>9.65041615189558</v>
      </c>
      <c r="V56" s="177" t="n">
        <f aca="false">V$3*$E56</f>
        <v>10.1327305146508</v>
      </c>
      <c r="W56" s="177" t="n">
        <f aca="false">W$3*$E56</f>
        <v>10.4851879213241</v>
      </c>
      <c r="X56" s="177" t="n">
        <f aca="false">X$3*$E56</f>
        <v>10.7268289630941</v>
      </c>
      <c r="Y56" s="177" t="n">
        <f aca="false">Y$3*$E56</f>
        <v>10.8853352069538</v>
      </c>
      <c r="Z56" s="177" t="n">
        <f aca="false">Z$3*$E56</f>
        <v>10.9863163000246</v>
      </c>
      <c r="AA56" s="177" t="n">
        <f aca="false">AA$3*$E56</f>
        <v>11.0494573255859</v>
      </c>
      <c r="AB56" s="177" t="n">
        <f aca="false">AB$3*$E56</f>
        <v>11.0884772890586</v>
      </c>
      <c r="AC56" s="177" t="n">
        <f aca="false">AC$3*$E56</f>
        <v>11.1124162663248</v>
      </c>
      <c r="AD56" s="219" t="n">
        <f aca="false">Algae_electricity_factor/H56</f>
        <v>0.00246527935094547</v>
      </c>
      <c r="AE56" s="220" t="n">
        <f aca="false">Algae_electricity_factor/I56</f>
        <v>0.00246527935094547</v>
      </c>
      <c r="AF56" s="220" t="n">
        <f aca="false">Algae_electricity_factor/J56</f>
        <v>0.00246527935094547</v>
      </c>
      <c r="AG56" s="220" t="n">
        <f aca="false">Algae_electricity_factor/K56</f>
        <v>0.00246527935094547</v>
      </c>
      <c r="AH56" s="220" t="n">
        <f aca="false">Algae_electricity_factor/L56</f>
        <v>0.00246527935094547</v>
      </c>
      <c r="AI56" s="220" t="n">
        <f aca="false">Algae_electricity_factor/M56</f>
        <v>0.00235365519802043</v>
      </c>
      <c r="AJ56" s="220" t="n">
        <f aca="false">Algae_electricity_factor/N56</f>
        <v>0.0022914538335311</v>
      </c>
      <c r="AK56" s="220" t="n">
        <f aca="false">Algae_electricity_factor/O56</f>
        <v>0.00220270989508438</v>
      </c>
      <c r="AL56" s="220" t="n">
        <f aca="false">Algae_electricity_factor/P56</f>
        <v>0.00208493414706532</v>
      </c>
      <c r="AM56" s="220" t="n">
        <f aca="false">Algae_electricity_factor/Q56</f>
        <v>0.00194278420534485</v>
      </c>
      <c r="AN56" s="220" t="n">
        <f aca="false">Algae_electricity_factor/R56</f>
        <v>0.00178962364363176</v>
      </c>
      <c r="AO56" s="220" t="n">
        <f aca="false">Algae_electricity_factor/S56</f>
        <v>0.00164351956729698</v>
      </c>
      <c r="AP56" s="220" t="n">
        <f aca="false">Algae_electricity_factor/T56</f>
        <v>0.00151947066008692</v>
      </c>
      <c r="AQ56" s="220" t="n">
        <f aca="false">Algae_electricity_factor/U56</f>
        <v>0.0014241455380999</v>
      </c>
      <c r="AR56" s="220" t="n">
        <f aca="false">Algae_electricity_factor/V56</f>
        <v>0.00135635671783213</v>
      </c>
      <c r="AS56" s="220" t="n">
        <f aca="false">Algae_electricity_factor/W56</f>
        <v>0.00131076306945138</v>
      </c>
      <c r="AT56" s="220" t="n">
        <f aca="false">Algae_electricity_factor/X56</f>
        <v>0.00128123578280352</v>
      </c>
      <c r="AU56" s="220" t="n">
        <f aca="false">Algae_electricity_factor/Y56</f>
        <v>0.00126257913442569</v>
      </c>
      <c r="AV56" s="220" t="n">
        <f aca="false">Algae_electricity_factor/Z56</f>
        <v>0.00125097409615801</v>
      </c>
      <c r="AW56" s="220" t="n">
        <f aca="false">Algae_electricity_factor/AA56</f>
        <v>0.00124382552903344</v>
      </c>
      <c r="AX56" s="220" t="n">
        <f aca="false">Algae_electricity_factor/AB56</f>
        <v>0.00123944855053187</v>
      </c>
      <c r="AY56" s="220" t="n">
        <f aca="false">Algae_electricity_factor/AC56</f>
        <v>0.00123677846241037</v>
      </c>
      <c r="AZ56" s="221" t="n">
        <f aca="false">Algae_yield_cost_factor/H56</f>
        <v>0.136477341740752</v>
      </c>
      <c r="BA56" s="197" t="n">
        <f aca="false">Algae_yield_cost_factor/I56</f>
        <v>0.136477341740752</v>
      </c>
      <c r="BB56" s="197" t="n">
        <f aca="false">Algae_yield_cost_factor/J56</f>
        <v>0.136477341740752</v>
      </c>
      <c r="BC56" s="197" t="n">
        <f aca="false">Algae_yield_cost_factor/K56</f>
        <v>0.136477341740752</v>
      </c>
      <c r="BD56" s="197" t="n">
        <f aca="false">Algae_yield_cost_factor/L56</f>
        <v>0.136477341740752</v>
      </c>
      <c r="BE56" s="197" t="n">
        <f aca="false">Algae_yield_cost_factor/M56</f>
        <v>0.130297852321255</v>
      </c>
      <c r="BF56" s="197" t="n">
        <f aca="false">Algae_yield_cost_factor/N56</f>
        <v>0.126854397982137</v>
      </c>
      <c r="BG56" s="197" t="n">
        <f aca="false">Algae_yield_cost_factor/O56</f>
        <v>0.121941552381022</v>
      </c>
      <c r="BH56" s="197" t="n">
        <f aca="false">Algae_yield_cost_factor/P56</f>
        <v>0.115421511962476</v>
      </c>
      <c r="BI56" s="197" t="n">
        <f aca="false">Algae_yield_cost_factor/Q56</f>
        <v>0.107552121352778</v>
      </c>
      <c r="BJ56" s="197" t="n">
        <f aca="false">Algae_yield_cost_factor/R56</f>
        <v>0.0990731851567213</v>
      </c>
      <c r="BK56" s="197" t="n">
        <f aca="false">Algae_yield_cost_factor/S56</f>
        <v>0.0909848944938349</v>
      </c>
      <c r="BL56" s="197" t="n">
        <f aca="false">Algae_yield_cost_factor/T56</f>
        <v>0.0841175733136283</v>
      </c>
      <c r="BM56" s="197" t="n">
        <f aca="false">Algae_yield_cost_factor/U56</f>
        <v>0.0788403947882361</v>
      </c>
      <c r="BN56" s="197" t="n">
        <f aca="false">Algae_yield_cost_factor/V56</f>
        <v>0.0750876200828714</v>
      </c>
      <c r="BO56" s="197" t="n">
        <f aca="false">Algae_yield_cost_factor/W56</f>
        <v>0.0725635653833982</v>
      </c>
      <c r="BP56" s="197" t="n">
        <f aca="false">Algae_yield_cost_factor/X56</f>
        <v>0.0709289410602069</v>
      </c>
      <c r="BQ56" s="197" t="n">
        <f aca="false">Algae_yield_cost_factor/Y56</f>
        <v>0.0698961129649157</v>
      </c>
      <c r="BR56" s="197" t="n">
        <f aca="false">Algae_yield_cost_factor/Z56</f>
        <v>0.0692536605089839</v>
      </c>
      <c r="BS56" s="197" t="n">
        <f aca="false">Algae_yield_cost_factor/AA56</f>
        <v>0.0688579173498798</v>
      </c>
      <c r="BT56" s="197" t="n">
        <f aca="false">Algae_yield_cost_factor/AB56</f>
        <v>0.0686156087488194</v>
      </c>
      <c r="BU56" s="197" t="n">
        <f aca="false">Algae_yield_cost_factor/AC56</f>
        <v>0.0684677932370012</v>
      </c>
    </row>
    <row r="57" customFormat="false" ht="15" hidden="false" customHeight="false" outlineLevel="0" collapsed="false">
      <c r="A57" s="18" t="s">
        <v>699</v>
      </c>
      <c r="B57" s="18" t="s">
        <v>22</v>
      </c>
      <c r="C57" s="18" t="s">
        <v>690</v>
      </c>
      <c r="D57" s="18" t="s">
        <v>690</v>
      </c>
      <c r="E57" s="28" t="n">
        <v>6.74739</v>
      </c>
      <c r="F57" s="185" t="n">
        <f aca="false">E57/$B$2*$F$3/1000</f>
        <v>0.0165311055</v>
      </c>
      <c r="G57" s="18" t="n">
        <f aca="false">LOOKUP(RIGHT(D57,5),Ref!$C$4:$C$21,Ref!$E$4:$E$21)*$G$3</f>
        <v>1.5</v>
      </c>
      <c r="H57" s="218" t="n">
        <f aca="false">$E57</f>
        <v>6.74739</v>
      </c>
      <c r="I57" s="177" t="n">
        <f aca="false">$E57</f>
        <v>6.74739</v>
      </c>
      <c r="J57" s="177" t="n">
        <f aca="false">$E57</f>
        <v>6.74739</v>
      </c>
      <c r="K57" s="177" t="n">
        <f aca="false">$E57</f>
        <v>6.74739</v>
      </c>
      <c r="L57" s="177" t="n">
        <f aca="false">$E57</f>
        <v>6.74739</v>
      </c>
      <c r="M57" s="177" t="n">
        <f aca="false">M$3*$E57</f>
        <v>7.06739086241958</v>
      </c>
      <c r="N57" s="177" t="n">
        <f aca="false">N$3*$E57</f>
        <v>7.25923472529354</v>
      </c>
      <c r="O57" s="177" t="n">
        <f aca="false">O$3*$E57</f>
        <v>7.55169860402282</v>
      </c>
      <c r="P57" s="177" t="n">
        <f aca="false">P$3*$E57</f>
        <v>7.97828615507577</v>
      </c>
      <c r="Q57" s="177" t="n">
        <f aca="false">Q$3*$E57</f>
        <v>8.56204265713769</v>
      </c>
      <c r="R57" s="177" t="n">
        <f aca="false">R$3*$E57</f>
        <v>9.29480413324192</v>
      </c>
      <c r="S57" s="177" t="n">
        <f aca="false">S$3*$E57</f>
        <v>10.121085</v>
      </c>
      <c r="T57" s="177" t="n">
        <f aca="false">T$3*$E57</f>
        <v>10.9473658667581</v>
      </c>
      <c r="U57" s="177" t="n">
        <f aca="false">U$3*$E57</f>
        <v>11.6801273428623</v>
      </c>
      <c r="V57" s="177" t="n">
        <f aca="false">V$3*$E57</f>
        <v>12.2638838449242</v>
      </c>
      <c r="W57" s="177" t="n">
        <f aca="false">W$3*$E57</f>
        <v>12.6904713959772</v>
      </c>
      <c r="X57" s="177" t="n">
        <f aca="false">X$3*$E57</f>
        <v>12.9829352747065</v>
      </c>
      <c r="Y57" s="177" t="n">
        <f aca="false">Y$3*$E57</f>
        <v>13.1747791375804</v>
      </c>
      <c r="Z57" s="177" t="n">
        <f aca="false">Z$3*$E57</f>
        <v>13.2969989473506</v>
      </c>
      <c r="AA57" s="177" t="n">
        <f aca="false">AA$3*$E57</f>
        <v>13.3734200267639</v>
      </c>
      <c r="AB57" s="177" t="n">
        <f aca="false">AB$3*$E57</f>
        <v>13.4206468131638</v>
      </c>
      <c r="AC57" s="177" t="n">
        <f aca="false">AC$3*$E57</f>
        <v>13.449620724602</v>
      </c>
      <c r="AD57" s="219" t="n">
        <f aca="false">Algae_electricity_factor/H57</f>
        <v>0.0020368760518555</v>
      </c>
      <c r="AE57" s="220" t="n">
        <f aca="false">Algae_electricity_factor/I57</f>
        <v>0.0020368760518555</v>
      </c>
      <c r="AF57" s="220" t="n">
        <f aca="false">Algae_electricity_factor/J57</f>
        <v>0.0020368760518555</v>
      </c>
      <c r="AG57" s="220" t="n">
        <f aca="false">Algae_electricity_factor/K57</f>
        <v>0.0020368760518555</v>
      </c>
      <c r="AH57" s="220" t="n">
        <f aca="false">Algae_electricity_factor/L57</f>
        <v>0.0020368760518555</v>
      </c>
      <c r="AI57" s="220" t="n">
        <f aca="false">Algae_electricity_factor/M57</f>
        <v>0.00194464935802688</v>
      </c>
      <c r="AJ57" s="220" t="n">
        <f aca="false">Algae_electricity_factor/N57</f>
        <v>0.00189325702000544</v>
      </c>
      <c r="AK57" s="220" t="n">
        <f aca="false">Algae_electricity_factor/O57</f>
        <v>0.0018199345371395</v>
      </c>
      <c r="AL57" s="220" t="n">
        <f aca="false">Algae_electricity_factor/P57</f>
        <v>0.00172262524010694</v>
      </c>
      <c r="AM57" s="220" t="n">
        <f aca="false">Algae_electricity_factor/Q57</f>
        <v>0.0016051773687523</v>
      </c>
      <c r="AN57" s="220" t="n">
        <f aca="false">Algae_electricity_factor/R57</f>
        <v>0.00147863224512464</v>
      </c>
      <c r="AO57" s="220" t="n">
        <f aca="false">Algae_electricity_factor/S57</f>
        <v>0.00135791736790366</v>
      </c>
      <c r="AP57" s="220" t="n">
        <f aca="false">Algae_electricity_factor/T57</f>
        <v>0.00125542502834056</v>
      </c>
      <c r="AQ57" s="220" t="n">
        <f aca="false">Algae_electricity_factor/U57</f>
        <v>0.00117666500544859</v>
      </c>
      <c r="AR57" s="220" t="n">
        <f aca="false">Algae_electricity_factor/V57</f>
        <v>0.00112065617037114</v>
      </c>
      <c r="AS57" s="220" t="n">
        <f aca="false">Algae_electricity_factor/W57</f>
        <v>0.00108298554676904</v>
      </c>
      <c r="AT57" s="220" t="n">
        <f aca="false">Algae_electricity_factor/X57</f>
        <v>0.00105858935693107</v>
      </c>
      <c r="AU57" s="220" t="n">
        <f aca="false">Algae_electricity_factor/Y57</f>
        <v>0.00104317476293218</v>
      </c>
      <c r="AV57" s="220" t="n">
        <f aca="false">Algae_electricity_factor/Z57</f>
        <v>0.00103358638727031</v>
      </c>
      <c r="AW57" s="220" t="n">
        <f aca="false">Algae_electricity_factor/AA57</f>
        <v>0.00102768006059965</v>
      </c>
      <c r="AX57" s="220" t="n">
        <f aca="false">Algae_electricity_factor/AB57</f>
        <v>0.0010240636904362</v>
      </c>
      <c r="AY57" s="220" t="n">
        <f aca="false">Algae_electricity_factor/AC57</f>
        <v>0.00102185759620638</v>
      </c>
      <c r="AZ57" s="221" t="n">
        <f aca="false">Algae_yield_cost_factor/H57</f>
        <v>0.112761026009497</v>
      </c>
      <c r="BA57" s="197" t="n">
        <f aca="false">Algae_yield_cost_factor/I57</f>
        <v>0.112761026009497</v>
      </c>
      <c r="BB57" s="197" t="n">
        <f aca="false">Algae_yield_cost_factor/J57</f>
        <v>0.112761026009497</v>
      </c>
      <c r="BC57" s="197" t="n">
        <f aca="false">Algae_yield_cost_factor/K57</f>
        <v>0.112761026009497</v>
      </c>
      <c r="BD57" s="197" t="n">
        <f aca="false">Algae_yield_cost_factor/L57</f>
        <v>0.112761026009497</v>
      </c>
      <c r="BE57" s="197" t="n">
        <f aca="false">Algae_yield_cost_factor/M57</f>
        <v>0.107655375809473</v>
      </c>
      <c r="BF57" s="197" t="n">
        <f aca="false">Algae_yield_cost_factor/N57</f>
        <v>0.104810306881963</v>
      </c>
      <c r="BG57" s="197" t="n">
        <f aca="false">Algae_yield_cost_factor/O57</f>
        <v>0.100751189789396</v>
      </c>
      <c r="BH57" s="197" t="n">
        <f aca="false">Algae_yield_cost_factor/P57</f>
        <v>0.095364167754521</v>
      </c>
      <c r="BI57" s="197" t="n">
        <f aca="false">Algae_yield_cost_factor/Q57</f>
        <v>0.0888622785185433</v>
      </c>
      <c r="BJ57" s="197" t="n">
        <f aca="false">Algae_yield_cost_factor/R57</f>
        <v>0.0818567673271502</v>
      </c>
      <c r="BK57" s="197" t="n">
        <f aca="false">Algae_yield_cost_factor/S57</f>
        <v>0.0751740173396644</v>
      </c>
      <c r="BL57" s="197" t="n">
        <f aca="false">Algae_yield_cost_factor/T57</f>
        <v>0.0695000631701306</v>
      </c>
      <c r="BM57" s="197" t="n">
        <f aca="false">Algae_yield_cost_factor/U57</f>
        <v>0.0651399250155579</v>
      </c>
      <c r="BN57" s="197" t="n">
        <f aca="false">Algae_yield_cost_factor/V57</f>
        <v>0.0620392877906386</v>
      </c>
      <c r="BO57" s="197" t="n">
        <f aca="false">Algae_yield_cost_factor/W57</f>
        <v>0.0599538500616613</v>
      </c>
      <c r="BP57" s="197" t="n">
        <f aca="false">Algae_yield_cost_factor/X57</f>
        <v>0.0586032821690563</v>
      </c>
      <c r="BQ57" s="197" t="n">
        <f aca="false">Algae_yield_cost_factor/Y57</f>
        <v>0.057749933516225</v>
      </c>
      <c r="BR57" s="197" t="n">
        <f aca="false">Algae_yield_cost_factor/Z57</f>
        <v>0.0572191230742192</v>
      </c>
      <c r="BS57" s="197" t="n">
        <f aca="false">Algae_yield_cost_factor/AA57</f>
        <v>0.0568921500830426</v>
      </c>
      <c r="BT57" s="197" t="n">
        <f aca="false">Algae_yield_cost_factor/AB57</f>
        <v>0.0566919485981807</v>
      </c>
      <c r="BU57" s="197" t="n">
        <f aca="false">Algae_yield_cost_factor/AC57</f>
        <v>0.0565698196897469</v>
      </c>
    </row>
    <row r="58" customFormat="false" ht="15" hidden="false" customHeight="false" outlineLevel="0" collapsed="false">
      <c r="A58" s="18" t="s">
        <v>699</v>
      </c>
      <c r="B58" s="18" t="s">
        <v>22</v>
      </c>
      <c r="C58" s="18" t="s">
        <v>691</v>
      </c>
      <c r="D58" s="18" t="s">
        <v>691</v>
      </c>
      <c r="E58" s="28" t="n">
        <v>5.48376</v>
      </c>
      <c r="F58" s="185" t="n">
        <f aca="false">E58/$B$2*$F$3/1000</f>
        <v>0.013435212</v>
      </c>
      <c r="G58" s="18" t="n">
        <f aca="false">LOOKUP(RIGHT(D58,5),Ref!$C$4:$C$21,Ref!$E$4:$E$21)*$G$3</f>
        <v>2</v>
      </c>
      <c r="H58" s="218" t="n">
        <f aca="false">$E58</f>
        <v>5.48376</v>
      </c>
      <c r="I58" s="177" t="n">
        <f aca="false">$E58</f>
        <v>5.48376</v>
      </c>
      <c r="J58" s="177" t="n">
        <f aca="false">$E58</f>
        <v>5.48376</v>
      </c>
      <c r="K58" s="177" t="n">
        <f aca="false">$E58</f>
        <v>5.48376</v>
      </c>
      <c r="L58" s="177" t="n">
        <f aca="false">$E58</f>
        <v>5.48376</v>
      </c>
      <c r="M58" s="177" t="n">
        <f aca="false">M$3*$E58</f>
        <v>5.74383210629621</v>
      </c>
      <c r="N58" s="177" t="n">
        <f aca="false">N$3*$E58</f>
        <v>5.89974805327329</v>
      </c>
      <c r="O58" s="177" t="n">
        <f aca="false">O$3*$E58</f>
        <v>6.13744021566801</v>
      </c>
      <c r="P58" s="177" t="n">
        <f aca="false">P$3*$E58</f>
        <v>6.48413779042834</v>
      </c>
      <c r="Q58" s="177" t="n">
        <f aca="false">Q$3*$E58</f>
        <v>6.95857020885193</v>
      </c>
      <c r="R58" s="177" t="n">
        <f aca="false">R$3*$E58</f>
        <v>7.55410241792852</v>
      </c>
      <c r="S58" s="177" t="n">
        <f aca="false">S$3*$E58</f>
        <v>8.22564</v>
      </c>
      <c r="T58" s="177" t="n">
        <f aca="false">T$3*$E58</f>
        <v>8.89717758207148</v>
      </c>
      <c r="U58" s="177" t="n">
        <f aca="false">U$3*$E58</f>
        <v>9.49270979114808</v>
      </c>
      <c r="V58" s="177" t="n">
        <f aca="false">V$3*$E58</f>
        <v>9.96714220957166</v>
      </c>
      <c r="W58" s="177" t="n">
        <f aca="false">W$3*$E58</f>
        <v>10.313839784332</v>
      </c>
      <c r="X58" s="177" t="n">
        <f aca="false">X$3*$E58</f>
        <v>10.5515319467267</v>
      </c>
      <c r="Y58" s="177" t="n">
        <f aca="false">Y$3*$E58</f>
        <v>10.7074478937038</v>
      </c>
      <c r="Z58" s="177" t="n">
        <f aca="false">Z$3*$E58</f>
        <v>10.8067787614949</v>
      </c>
      <c r="AA58" s="177" t="n">
        <f aca="false">AA$3*$E58</f>
        <v>10.8688879412583</v>
      </c>
      <c r="AB58" s="177" t="n">
        <f aca="false">AB$3*$E58</f>
        <v>10.9072702434801</v>
      </c>
      <c r="AC58" s="177" t="n">
        <f aca="false">AC$3*$E58</f>
        <v>10.9308180118154</v>
      </c>
      <c r="AD58" s="219" t="n">
        <f aca="false">Algae_electricity_factor/H58</f>
        <v>0.00250623606859696</v>
      </c>
      <c r="AE58" s="220" t="n">
        <f aca="false">Algae_electricity_factor/I58</f>
        <v>0.00250623606859696</v>
      </c>
      <c r="AF58" s="220" t="n">
        <f aca="false">Algae_electricity_factor/J58</f>
        <v>0.00250623606859696</v>
      </c>
      <c r="AG58" s="220" t="n">
        <f aca="false">Algae_electricity_factor/K58</f>
        <v>0.00250623606859696</v>
      </c>
      <c r="AH58" s="220" t="n">
        <f aca="false">Algae_electricity_factor/L58</f>
        <v>0.00250623606859696</v>
      </c>
      <c r="AI58" s="220" t="n">
        <f aca="false">Algae_electricity_factor/M58</f>
        <v>0.00239275745690128</v>
      </c>
      <c r="AJ58" s="220" t="n">
        <f aca="false">Algae_electricity_factor/N58</f>
        <v>0.00232952271511053</v>
      </c>
      <c r="AK58" s="220" t="n">
        <f aca="false">Algae_electricity_factor/O58</f>
        <v>0.00223930443647236</v>
      </c>
      <c r="AL58" s="220" t="n">
        <f aca="false">Algae_electricity_factor/P58</f>
        <v>0.00211957203065874</v>
      </c>
      <c r="AM58" s="220" t="n">
        <f aca="false">Algae_electricity_factor/Q58</f>
        <v>0.0019750604924624</v>
      </c>
      <c r="AN58" s="220" t="n">
        <f aca="false">Algae_electricity_factor/R58</f>
        <v>0.00181935541023523</v>
      </c>
      <c r="AO58" s="220" t="n">
        <f aca="false">Algae_electricity_factor/S58</f>
        <v>0.00167082404573131</v>
      </c>
      <c r="AP58" s="220" t="n">
        <f aca="false">Algae_electricity_factor/T58</f>
        <v>0.00154471426210754</v>
      </c>
      <c r="AQ58" s="220" t="n">
        <f aca="false">Algae_electricity_factor/U58</f>
        <v>0.00144780546397248</v>
      </c>
      <c r="AR58" s="220" t="n">
        <f aca="false">Algae_electricity_factor/V58</f>
        <v>0.00137889043966193</v>
      </c>
      <c r="AS58" s="220" t="n">
        <f aca="false">Algae_electricity_factor/W58</f>
        <v>0.0013325393249183</v>
      </c>
      <c r="AT58" s="220" t="n">
        <f aca="false">Algae_electricity_factor/X58</f>
        <v>0.0013025214890993</v>
      </c>
      <c r="AU58" s="220" t="n">
        <f aca="false">Algae_electricity_factor/Y58</f>
        <v>0.00128355489001359</v>
      </c>
      <c r="AV58" s="220" t="n">
        <f aca="false">Algae_electricity_factor/Z58</f>
        <v>0.00127175705238811</v>
      </c>
      <c r="AW58" s="220" t="n">
        <f aca="false">Algae_electricity_factor/AA58</f>
        <v>0.00126448972312601</v>
      </c>
      <c r="AX58" s="220" t="n">
        <f aca="false">Algae_electricity_factor/AB58</f>
        <v>0.00126004002804869</v>
      </c>
      <c r="AY58" s="220" t="n">
        <f aca="false">Algae_electricity_factor/AC58</f>
        <v>0.00125732558063572</v>
      </c>
      <c r="AZ58" s="221" t="n">
        <f aca="false">Algae_yield_cost_factor/H58</f>
        <v>0.138744696939001</v>
      </c>
      <c r="BA58" s="197" t="n">
        <f aca="false">Algae_yield_cost_factor/I58</f>
        <v>0.138744696939001</v>
      </c>
      <c r="BB58" s="197" t="n">
        <f aca="false">Algae_yield_cost_factor/J58</f>
        <v>0.138744696939001</v>
      </c>
      <c r="BC58" s="197" t="n">
        <f aca="false">Algae_yield_cost_factor/K58</f>
        <v>0.138744696939001</v>
      </c>
      <c r="BD58" s="197" t="n">
        <f aca="false">Algae_yield_cost_factor/L58</f>
        <v>0.138744696939001</v>
      </c>
      <c r="BE58" s="197" t="n">
        <f aca="false">Algae_yield_cost_factor/M58</f>
        <v>0.132462545075474</v>
      </c>
      <c r="BF58" s="197" t="n">
        <f aca="false">Algae_yield_cost_factor/N58</f>
        <v>0.12896188318823</v>
      </c>
      <c r="BG58" s="197" t="n">
        <f aca="false">Algae_yield_cost_factor/O58</f>
        <v>0.123967418426968</v>
      </c>
      <c r="BH58" s="197" t="n">
        <f aca="false">Algae_yield_cost_factor/P58</f>
        <v>0.117339057848115</v>
      </c>
      <c r="BI58" s="197" t="n">
        <f aca="false">Algae_yield_cost_factor/Q58</f>
        <v>0.109338929758639</v>
      </c>
      <c r="BJ58" s="197" t="n">
        <f aca="false">Algae_yield_cost_factor/R58</f>
        <v>0.100719129446865</v>
      </c>
      <c r="BK58" s="197" t="n">
        <f aca="false">Algae_yield_cost_factor/S58</f>
        <v>0.0924964646260009</v>
      </c>
      <c r="BL58" s="197" t="n">
        <f aca="false">Algae_yield_cost_factor/T58</f>
        <v>0.0855150537648452</v>
      </c>
      <c r="BM58" s="197" t="n">
        <f aca="false">Algae_yield_cost_factor/U58</f>
        <v>0.0801502032639512</v>
      </c>
      <c r="BN58" s="197" t="n">
        <f aca="false">Algae_yield_cost_factor/V58</f>
        <v>0.0763350821417562</v>
      </c>
      <c r="BO58" s="197" t="n">
        <f aca="false">Algae_yield_cost_factor/W58</f>
        <v>0.0737690942651672</v>
      </c>
      <c r="BP58" s="197" t="n">
        <f aca="false">Algae_yield_cost_factor/X58</f>
        <v>0.0721073132439547</v>
      </c>
      <c r="BQ58" s="197" t="n">
        <f aca="false">Algae_yield_cost_factor/Y58</f>
        <v>0.0710573263432466</v>
      </c>
      <c r="BR58" s="197" t="n">
        <f aca="false">Algae_yield_cost_factor/Z58</f>
        <v>0.0704042005557785</v>
      </c>
      <c r="BS58" s="197" t="n">
        <f aca="false">Algae_yield_cost_factor/AA58</f>
        <v>0.0700018827499417</v>
      </c>
      <c r="BT58" s="197" t="n">
        <f aca="false">Algae_yield_cost_factor/AB58</f>
        <v>0.0697555485746784</v>
      </c>
      <c r="BU58" s="197" t="n">
        <f aca="false">Algae_yield_cost_factor/AC58</f>
        <v>0.069605277341897</v>
      </c>
    </row>
    <row r="59" customFormat="false" ht="15" hidden="false" customHeight="false" outlineLevel="0" collapsed="false">
      <c r="A59" s="18" t="s">
        <v>699</v>
      </c>
      <c r="B59" s="18" t="s">
        <v>22</v>
      </c>
      <c r="C59" s="18" t="s">
        <v>692</v>
      </c>
      <c r="D59" s="18" t="s">
        <v>692</v>
      </c>
      <c r="E59" s="28" t="n">
        <v>4.980936</v>
      </c>
      <c r="F59" s="185" t="n">
        <f aca="false">E59/$B$2*$F$3/1000</f>
        <v>0.0122032932</v>
      </c>
      <c r="G59" s="18" t="n">
        <f aca="false">LOOKUP(RIGHT(D59,5),Ref!$C$4:$C$21,Ref!$E$4:$E$21)*$G$3</f>
        <v>2.5</v>
      </c>
      <c r="H59" s="218" t="n">
        <f aca="false">$E59</f>
        <v>4.980936</v>
      </c>
      <c r="I59" s="177" t="n">
        <f aca="false">$E59</f>
        <v>4.980936</v>
      </c>
      <c r="J59" s="177" t="n">
        <f aca="false">$E59</f>
        <v>4.980936</v>
      </c>
      <c r="K59" s="177" t="n">
        <f aca="false">$E59</f>
        <v>4.980936</v>
      </c>
      <c r="L59" s="177" t="n">
        <f aca="false">$E59</f>
        <v>4.980936</v>
      </c>
      <c r="M59" s="177" t="n">
        <f aca="false">M$3*$E59</f>
        <v>5.21716123904158</v>
      </c>
      <c r="N59" s="177" t="n">
        <f aca="false">N$3*$E59</f>
        <v>5.35878073976229</v>
      </c>
      <c r="O59" s="177" t="n">
        <f aca="false">O$3*$E59</f>
        <v>5.57467812560516</v>
      </c>
      <c r="P59" s="177" t="n">
        <f aca="false">P$3*$E59</f>
        <v>5.88958585884594</v>
      </c>
      <c r="Q59" s="177" t="n">
        <f aca="false">Q$3*$E59</f>
        <v>6.32051600759298</v>
      </c>
      <c r="R59" s="177" t="n">
        <f aca="false">R$3*$E59</f>
        <v>6.86144190868076</v>
      </c>
      <c r="S59" s="177" t="n">
        <f aca="false">S$3*$E59</f>
        <v>7.471404</v>
      </c>
      <c r="T59" s="177" t="n">
        <f aca="false">T$3*$E59</f>
        <v>8.08136609131924</v>
      </c>
      <c r="U59" s="177" t="n">
        <f aca="false">U$3*$E59</f>
        <v>8.62229199240702</v>
      </c>
      <c r="V59" s="177" t="n">
        <f aca="false">V$3*$E59</f>
        <v>9.05322214115406</v>
      </c>
      <c r="W59" s="177" t="n">
        <f aca="false">W$3*$E59</f>
        <v>9.36812987439484</v>
      </c>
      <c r="X59" s="177" t="n">
        <f aca="false">X$3*$E59</f>
        <v>9.58402726023771</v>
      </c>
      <c r="Y59" s="177" t="n">
        <f aca="false">Y$3*$E59</f>
        <v>9.72564676095842</v>
      </c>
      <c r="Z59" s="177" t="n">
        <f aca="false">Z$3*$E59</f>
        <v>9.81586965461026</v>
      </c>
      <c r="AA59" s="177" t="n">
        <f aca="false">AA$3*$E59</f>
        <v>9.87228383929626</v>
      </c>
      <c r="AB59" s="177" t="n">
        <f aca="false">AB$3*$E59</f>
        <v>9.90714674192134</v>
      </c>
      <c r="AC59" s="177" t="n">
        <f aca="false">AC$3*$E59</f>
        <v>9.9285353378886</v>
      </c>
      <c r="AD59" s="219" t="n">
        <f aca="false">Algae_electricity_factor/H59</f>
        <v>0.00275923985040749</v>
      </c>
      <c r="AE59" s="220" t="n">
        <f aca="false">Algae_electricity_factor/I59</f>
        <v>0.00275923985040749</v>
      </c>
      <c r="AF59" s="220" t="n">
        <f aca="false">Algae_electricity_factor/J59</f>
        <v>0.00275923985040749</v>
      </c>
      <c r="AG59" s="220" t="n">
        <f aca="false">Algae_electricity_factor/K59</f>
        <v>0.00275923985040749</v>
      </c>
      <c r="AH59" s="220" t="n">
        <f aca="false">Algae_electricity_factor/L59</f>
        <v>0.00275923985040749</v>
      </c>
      <c r="AI59" s="220" t="n">
        <f aca="false">Algae_electricity_factor/M59</f>
        <v>0.00263430560678896</v>
      </c>
      <c r="AJ59" s="220" t="n">
        <f aca="false">Algae_electricity_factor/N59</f>
        <v>0.00256468733672035</v>
      </c>
      <c r="AK59" s="220" t="n">
        <f aca="false">Algae_electricity_factor/O59</f>
        <v>0.00246536154982712</v>
      </c>
      <c r="AL59" s="220" t="n">
        <f aca="false">Algae_electricity_factor/P59</f>
        <v>0.00233354219344419</v>
      </c>
      <c r="AM59" s="220" t="n">
        <f aca="false">Algae_electricity_factor/Q59</f>
        <v>0.00217444225867299</v>
      </c>
      <c r="AN59" s="220" t="n">
        <f aca="false">Algae_electricity_factor/R59</f>
        <v>0.00200301879494768</v>
      </c>
      <c r="AO59" s="220" t="n">
        <f aca="false">Algae_electricity_factor/S59</f>
        <v>0.00183949323360499</v>
      </c>
      <c r="AP59" s="220" t="n">
        <f aca="false">Algae_electricity_factor/T59</f>
        <v>0.0017006527050287</v>
      </c>
      <c r="AQ59" s="220" t="n">
        <f aca="false">Algae_electricity_factor/U59</f>
        <v>0.0015939609926957</v>
      </c>
      <c r="AR59" s="220" t="n">
        <f aca="false">Algae_electricity_factor/V59</f>
        <v>0.00151808901728521</v>
      </c>
      <c r="AS59" s="220" t="n">
        <f aca="false">Algae_electricity_factor/W59</f>
        <v>0.00146705877136626</v>
      </c>
      <c r="AT59" s="220" t="n">
        <f aca="false">Algae_electricity_factor/X59</f>
        <v>0.00143401064399606</v>
      </c>
      <c r="AU59" s="220" t="n">
        <f aca="false">Algae_electricity_factor/Y59</f>
        <v>0.00141312937240329</v>
      </c>
      <c r="AV59" s="220" t="n">
        <f aca="false">Algae_electricity_factor/Z59</f>
        <v>0.00140014054659683</v>
      </c>
      <c r="AW59" s="220" t="n">
        <f aca="false">Algae_electricity_factor/AA59</f>
        <v>0.0013921395826185</v>
      </c>
      <c r="AX59" s="220" t="n">
        <f aca="false">Algae_electricity_factor/AB59</f>
        <v>0.0013872406921535</v>
      </c>
      <c r="AY59" s="220" t="n">
        <f aca="false">Algae_electricity_factor/AC59</f>
        <v>0.00138425222208576</v>
      </c>
      <c r="AZ59" s="221" t="n">
        <f aca="false">Algae_yield_cost_factor/H59</f>
        <v>0.152750932613111</v>
      </c>
      <c r="BA59" s="197" t="n">
        <f aca="false">Algae_yield_cost_factor/I59</f>
        <v>0.152750932613111</v>
      </c>
      <c r="BB59" s="197" t="n">
        <f aca="false">Algae_yield_cost_factor/J59</f>
        <v>0.152750932613111</v>
      </c>
      <c r="BC59" s="197" t="n">
        <f aca="false">Algae_yield_cost_factor/K59</f>
        <v>0.152750932613111</v>
      </c>
      <c r="BD59" s="197" t="n">
        <f aca="false">Algae_yield_cost_factor/L59</f>
        <v>0.152750932613111</v>
      </c>
      <c r="BE59" s="197" t="n">
        <f aca="false">Algae_yield_cost_factor/M59</f>
        <v>0.145834599397198</v>
      </c>
      <c r="BF59" s="197" t="n">
        <f aca="false">Algae_yield_cost_factor/N59</f>
        <v>0.141980546739064</v>
      </c>
      <c r="BG59" s="197" t="n">
        <f aca="false">Algae_yield_cost_factor/O59</f>
        <v>0.136481892253398</v>
      </c>
      <c r="BH59" s="197" t="n">
        <f aca="false">Algae_yield_cost_factor/P59</f>
        <v>0.129184400655856</v>
      </c>
      <c r="BI59" s="197" t="n">
        <f aca="false">Algae_yield_cost_factor/Q59</f>
        <v>0.120376662027626</v>
      </c>
      <c r="BJ59" s="197" t="n">
        <f aca="false">Algae_yield_cost_factor/R59</f>
        <v>0.110886695451526</v>
      </c>
      <c r="BK59" s="197" t="n">
        <f aca="false">Algae_yield_cost_factor/S59</f>
        <v>0.101833955075407</v>
      </c>
      <c r="BL59" s="197" t="n">
        <f aca="false">Algae_yield_cost_factor/T59</f>
        <v>0.0941477728751197</v>
      </c>
      <c r="BM59" s="197" t="n">
        <f aca="false">Algae_yield_cost_factor/U59</f>
        <v>0.0882413423201432</v>
      </c>
      <c r="BN59" s="197" t="n">
        <f aca="false">Algae_yield_cost_factor/V59</f>
        <v>0.0840410858613074</v>
      </c>
      <c r="BO59" s="197" t="n">
        <f aca="false">Algae_yield_cost_factor/W59</f>
        <v>0.0812160622757556</v>
      </c>
      <c r="BP59" s="197" t="n">
        <f aca="false">Algae_yield_cost_factor/X59</f>
        <v>0.079386524957291</v>
      </c>
      <c r="BQ59" s="197" t="n">
        <f aca="false">Algae_yield_cost_factor/Y59</f>
        <v>0.0782305421928814</v>
      </c>
      <c r="BR59" s="197" t="n">
        <f aca="false">Algae_yield_cost_factor/Z59</f>
        <v>0.07751148355244</v>
      </c>
      <c r="BS59" s="197" t="n">
        <f aca="false">Algae_yield_cost_factor/AA59</f>
        <v>0.0770685518843889</v>
      </c>
      <c r="BT59" s="197" t="n">
        <f aca="false">Algae_yield_cost_factor/AB59</f>
        <v>0.0767973503477817</v>
      </c>
      <c r="BU59" s="197" t="n">
        <f aca="false">Algae_yield_cost_factor/AC59</f>
        <v>0.0766319092789792</v>
      </c>
    </row>
    <row r="60" customFormat="false" ht="15" hidden="false" customHeight="false" outlineLevel="0" collapsed="false">
      <c r="A60" s="18" t="s">
        <v>699</v>
      </c>
      <c r="B60" s="18" t="s">
        <v>22</v>
      </c>
      <c r="C60" s="18" t="s">
        <v>693</v>
      </c>
      <c r="D60" s="18" t="s">
        <v>693</v>
      </c>
      <c r="E60" s="28" t="n">
        <v>6.10937</v>
      </c>
      <c r="F60" s="185" t="n">
        <f aca="false">E60/$B$2*$F$3/1000</f>
        <v>0.0149679565</v>
      </c>
      <c r="G60" s="18" t="n">
        <f aca="false">LOOKUP(RIGHT(D60,5),Ref!$C$4:$C$21,Ref!$E$4:$E$21)*$G$3</f>
        <v>3</v>
      </c>
      <c r="H60" s="218" t="n">
        <f aca="false">$E60</f>
        <v>6.10937</v>
      </c>
      <c r="I60" s="177" t="n">
        <f aca="false">$E60</f>
        <v>6.10937</v>
      </c>
      <c r="J60" s="177" t="n">
        <f aca="false">$E60</f>
        <v>6.10937</v>
      </c>
      <c r="K60" s="177" t="n">
        <f aca="false">$E60</f>
        <v>6.10937</v>
      </c>
      <c r="L60" s="177" t="n">
        <f aca="false">$E60</f>
        <v>6.10937</v>
      </c>
      <c r="M60" s="177" t="n">
        <f aca="false">M$3*$E60</f>
        <v>6.39911220681483</v>
      </c>
      <c r="N60" s="177" t="n">
        <f aca="false">N$3*$E60</f>
        <v>6.57281568927639</v>
      </c>
      <c r="O60" s="177" t="n">
        <f aca="false">O$3*$E60</f>
        <v>6.83762475571426</v>
      </c>
      <c r="P60" s="177" t="n">
        <f aca="false">P$3*$E60</f>
        <v>7.22387502237684</v>
      </c>
      <c r="Q60" s="177" t="n">
        <f aca="false">Q$3*$E60</f>
        <v>7.75243265147521</v>
      </c>
      <c r="R60" s="177" t="n">
        <f aca="false">R$3*$E60</f>
        <v>8.41590563573533</v>
      </c>
      <c r="S60" s="177" t="n">
        <f aca="false">S$3*$E60</f>
        <v>9.164055</v>
      </c>
      <c r="T60" s="177" t="n">
        <f aca="false">T$3*$E60</f>
        <v>9.91220436426467</v>
      </c>
      <c r="U60" s="177" t="n">
        <f aca="false">U$3*$E60</f>
        <v>10.5756773485248</v>
      </c>
      <c r="V60" s="177" t="n">
        <f aca="false">V$3*$E60</f>
        <v>11.1042349776232</v>
      </c>
      <c r="W60" s="177" t="n">
        <f aca="false">W$3*$E60</f>
        <v>11.4904852442857</v>
      </c>
      <c r="X60" s="177" t="n">
        <f aca="false">X$3*$E60</f>
        <v>11.7552943107236</v>
      </c>
      <c r="Y60" s="177" t="n">
        <f aca="false">Y$3*$E60</f>
        <v>11.9289977931852</v>
      </c>
      <c r="Z60" s="177" t="n">
        <f aca="false">Z$3*$E60</f>
        <v>12.0396607368146</v>
      </c>
      <c r="AA60" s="177" t="n">
        <f aca="false">AA$3*$E60</f>
        <v>12.1088555884439</v>
      </c>
      <c r="AB60" s="177" t="n">
        <f aca="false">AB$3*$E60</f>
        <v>12.1516167023009</v>
      </c>
      <c r="AC60" s="177" t="n">
        <f aca="false">AC$3*$E60</f>
        <v>12.1778508973487</v>
      </c>
      <c r="AD60" s="219" t="n">
        <f aca="false">Algae_electricity_factor/H60</f>
        <v>0.00224959318285343</v>
      </c>
      <c r="AE60" s="220" t="n">
        <f aca="false">Algae_electricity_factor/I60</f>
        <v>0.00224959318285343</v>
      </c>
      <c r="AF60" s="220" t="n">
        <f aca="false">Algae_electricity_factor/J60</f>
        <v>0.00224959318285343</v>
      </c>
      <c r="AG60" s="220" t="n">
        <f aca="false">Algae_electricity_factor/K60</f>
        <v>0.00224959318285343</v>
      </c>
      <c r="AH60" s="220" t="n">
        <f aca="false">Algae_electricity_factor/L60</f>
        <v>0.00224959318285343</v>
      </c>
      <c r="AI60" s="220" t="n">
        <f aca="false">Algae_electricity_factor/M60</f>
        <v>0.00214773497625074</v>
      </c>
      <c r="AJ60" s="220" t="n">
        <f aca="false">Algae_electricity_factor/N60</f>
        <v>0.00209097558082331</v>
      </c>
      <c r="AK60" s="220" t="n">
        <f aca="false">Algae_electricity_factor/O60</f>
        <v>0.00200999580915048</v>
      </c>
      <c r="AL60" s="220" t="n">
        <f aca="false">Algae_electricity_factor/P60</f>
        <v>0.00190252420770802</v>
      </c>
      <c r="AM60" s="220" t="n">
        <f aca="false">Algae_electricity_factor/Q60</f>
        <v>0.0017728108996747</v>
      </c>
      <c r="AN60" s="220" t="n">
        <f aca="false">Algae_electricity_factor/R60</f>
        <v>0.00163305028577931</v>
      </c>
      <c r="AO60" s="220" t="n">
        <f aca="false">Algae_electricity_factor/S60</f>
        <v>0.00149972878856895</v>
      </c>
      <c r="AP60" s="220" t="n">
        <f aca="false">Algae_electricity_factor/T60</f>
        <v>0.00138653286377725</v>
      </c>
      <c r="AQ60" s="220" t="n">
        <f aca="false">Algae_electricity_factor/U60</f>
        <v>0.00129954769331596</v>
      </c>
      <c r="AR60" s="220" t="n">
        <f aca="false">Algae_electricity_factor/V60</f>
        <v>0.00123768968607246</v>
      </c>
      <c r="AS60" s="220" t="n">
        <f aca="false">Algae_electricity_factor/W60</f>
        <v>0.00119608500523196</v>
      </c>
      <c r="AT60" s="220" t="n">
        <f aca="false">Algae_electricity_factor/X60</f>
        <v>0.00116914104745058</v>
      </c>
      <c r="AU60" s="220" t="n">
        <f aca="false">Algae_electricity_factor/Y60</f>
        <v>0.00115211666074586</v>
      </c>
      <c r="AV60" s="220" t="n">
        <f aca="false">Algae_electricity_factor/Z60</f>
        <v>0.00114152694199301</v>
      </c>
      <c r="AW60" s="220" t="n">
        <f aca="false">Algae_electricity_factor/AA60</f>
        <v>0.00113500379975177</v>
      </c>
      <c r="AX60" s="220" t="n">
        <f aca="false">Algae_electricity_factor/AB60</f>
        <v>0.00113100976110667</v>
      </c>
      <c r="AY60" s="220" t="n">
        <f aca="false">Algae_electricity_factor/AC60</f>
        <v>0.00112857327777937</v>
      </c>
      <c r="AZ60" s="221" t="n">
        <f aca="false">Algae_yield_cost_factor/H60</f>
        <v>0.124537001243372</v>
      </c>
      <c r="BA60" s="197" t="n">
        <f aca="false">Algae_yield_cost_factor/I60</f>
        <v>0.124537001243372</v>
      </c>
      <c r="BB60" s="197" t="n">
        <f aca="false">Algae_yield_cost_factor/J60</f>
        <v>0.124537001243372</v>
      </c>
      <c r="BC60" s="197" t="n">
        <f aca="false">Algae_yield_cost_factor/K60</f>
        <v>0.124537001243372</v>
      </c>
      <c r="BD60" s="197" t="n">
        <f aca="false">Algae_yield_cost_factor/L60</f>
        <v>0.124537001243372</v>
      </c>
      <c r="BE60" s="197" t="n">
        <f aca="false">Algae_yield_cost_factor/M60</f>
        <v>0.118898152539964</v>
      </c>
      <c r="BF60" s="197" t="n">
        <f aca="false">Algae_yield_cost_factor/N60</f>
        <v>0.115755964453338</v>
      </c>
      <c r="BG60" s="197" t="n">
        <f aca="false">Algae_yield_cost_factor/O60</f>
        <v>0.111272941477283</v>
      </c>
      <c r="BH60" s="197" t="n">
        <f aca="false">Algae_yield_cost_factor/P60</f>
        <v>0.105323336426698</v>
      </c>
      <c r="BI60" s="197" t="n">
        <f aca="false">Algae_yield_cost_factor/Q60</f>
        <v>0.0981424352188906</v>
      </c>
      <c r="BJ60" s="197" t="n">
        <f aca="false">Algae_yield_cost_factor/R60</f>
        <v>0.0904053172905782</v>
      </c>
      <c r="BK60" s="197" t="n">
        <f aca="false">Algae_yield_cost_factor/S60</f>
        <v>0.0830246674955811</v>
      </c>
      <c r="BL60" s="197" t="n">
        <f aca="false">Algae_yield_cost_factor/T60</f>
        <v>0.0767581651190724</v>
      </c>
      <c r="BM60" s="197" t="n">
        <f aca="false">Algae_yield_cost_factor/U60</f>
        <v>0.0719426845404231</v>
      </c>
      <c r="BN60" s="197" t="n">
        <f aca="false">Algae_yield_cost_factor/V60</f>
        <v>0.0685182383855745</v>
      </c>
      <c r="BO60" s="197" t="n">
        <f aca="false">Algae_yield_cost_factor/W60</f>
        <v>0.0662150120826784</v>
      </c>
      <c r="BP60" s="197" t="n">
        <f aca="false">Algae_yield_cost_factor/X60</f>
        <v>0.0647234002973578</v>
      </c>
      <c r="BQ60" s="197" t="n">
        <f aca="false">Algae_yield_cost_factor/Y60</f>
        <v>0.0637809338619271</v>
      </c>
      <c r="BR60" s="197" t="n">
        <f aca="false">Algae_yield_cost_factor/Z60</f>
        <v>0.0631946892788873</v>
      </c>
      <c r="BS60" s="197" t="n">
        <f aca="false">Algae_yield_cost_factor/AA60</f>
        <v>0.0628335695086106</v>
      </c>
      <c r="BT60" s="197" t="n">
        <f aca="false">Algae_yield_cost_factor/AB60</f>
        <v>0.0626124603767456</v>
      </c>
      <c r="BU60" s="197" t="n">
        <f aca="false">Algae_yield_cost_factor/AC60</f>
        <v>0.0624775771767631</v>
      </c>
    </row>
    <row r="61" customFormat="false" ht="15" hidden="false" customHeight="false" outlineLevel="0" collapsed="false">
      <c r="A61" s="18" t="s">
        <v>699</v>
      </c>
      <c r="B61" s="18" t="s">
        <v>22</v>
      </c>
      <c r="C61" s="18" t="s">
        <v>694</v>
      </c>
      <c r="D61" s="18" t="s">
        <v>694</v>
      </c>
      <c r="E61" s="28" t="n">
        <v>6.53861</v>
      </c>
      <c r="F61" s="185" t="n">
        <f aca="false">E61/$B$2*$F$3/1000</f>
        <v>0.0160195945</v>
      </c>
      <c r="G61" s="18" t="n">
        <f aca="false">LOOKUP(RIGHT(D61,5),Ref!$C$4:$C$21,Ref!$E$4:$E$21)*$G$3</f>
        <v>3</v>
      </c>
      <c r="H61" s="218" t="n">
        <f aca="false">$E61</f>
        <v>6.53861</v>
      </c>
      <c r="I61" s="177" t="n">
        <f aca="false">$E61</f>
        <v>6.53861</v>
      </c>
      <c r="J61" s="177" t="n">
        <f aca="false">$E61</f>
        <v>6.53861</v>
      </c>
      <c r="K61" s="177" t="n">
        <f aca="false">$E61</f>
        <v>6.53861</v>
      </c>
      <c r="L61" s="177" t="n">
        <f aca="false">$E61</f>
        <v>6.53861</v>
      </c>
      <c r="M61" s="177" t="n">
        <f aca="false">M$3*$E61</f>
        <v>6.84870928861757</v>
      </c>
      <c r="N61" s="177" t="n">
        <f aca="false">N$3*$E61</f>
        <v>7.0346170544687</v>
      </c>
      <c r="O61" s="177" t="n">
        <f aca="false">O$3*$E61</f>
        <v>7.31803141796304</v>
      </c>
      <c r="P61" s="177" t="n">
        <f aca="false">P$3*$E61</f>
        <v>7.73141935421548</v>
      </c>
      <c r="Q61" s="177" t="n">
        <f aca="false">Q$3*$E61</f>
        <v>8.29711306718406</v>
      </c>
      <c r="R61" s="177" t="n">
        <f aca="false">R$3*$E61</f>
        <v>9.00720119241024</v>
      </c>
      <c r="S61" s="177" t="n">
        <f aca="false">S$3*$E61</f>
        <v>9.807915</v>
      </c>
      <c r="T61" s="177" t="n">
        <f aca="false">T$3*$E61</f>
        <v>10.6086288075898</v>
      </c>
      <c r="U61" s="177" t="n">
        <f aca="false">U$3*$E61</f>
        <v>11.3187169328159</v>
      </c>
      <c r="V61" s="177" t="n">
        <f aca="false">V$3*$E61</f>
        <v>11.8844106457845</v>
      </c>
      <c r="W61" s="177" t="n">
        <f aca="false">W$3*$E61</f>
        <v>12.297798582037</v>
      </c>
      <c r="X61" s="177" t="n">
        <f aca="false">X$3*$E61</f>
        <v>12.5812129455313</v>
      </c>
      <c r="Y61" s="177" t="n">
        <f aca="false">Y$3*$E61</f>
        <v>12.7671207113824</v>
      </c>
      <c r="Z61" s="177" t="n">
        <f aca="false">Z$3*$E61</f>
        <v>12.8855587548869</v>
      </c>
      <c r="AA61" s="177" t="n">
        <f aca="false">AA$3*$E61</f>
        <v>12.9596151876798</v>
      </c>
      <c r="AB61" s="177" t="n">
        <f aca="false">AB$3*$E61</f>
        <v>13.0053806670462</v>
      </c>
      <c r="AC61" s="177" t="n">
        <f aca="false">AC$3*$E61</f>
        <v>13.033458058018</v>
      </c>
      <c r="AD61" s="219" t="n">
        <f aca="false">Algae_electricity_factor/H61</f>
        <v>0.00210191418413535</v>
      </c>
      <c r="AE61" s="220" t="n">
        <f aca="false">Algae_electricity_factor/I61</f>
        <v>0.00210191418413535</v>
      </c>
      <c r="AF61" s="220" t="n">
        <f aca="false">Algae_electricity_factor/J61</f>
        <v>0.00210191418413535</v>
      </c>
      <c r="AG61" s="220" t="n">
        <f aca="false">Algae_electricity_factor/K61</f>
        <v>0.00210191418413535</v>
      </c>
      <c r="AH61" s="220" t="n">
        <f aca="false">Algae_electricity_factor/L61</f>
        <v>0.00210191418413535</v>
      </c>
      <c r="AI61" s="220" t="n">
        <f aca="false">Algae_electricity_factor/M61</f>
        <v>0.00200674266118594</v>
      </c>
      <c r="AJ61" s="220" t="n">
        <f aca="false">Algae_electricity_factor/N61</f>
        <v>0.00195370934865583</v>
      </c>
      <c r="AK61" s="220" t="n">
        <f aca="false">Algae_electricity_factor/O61</f>
        <v>0.00187804565443568</v>
      </c>
      <c r="AL61" s="220" t="n">
        <f aca="false">Algae_electricity_factor/P61</f>
        <v>0.00177762923906536</v>
      </c>
      <c r="AM61" s="220" t="n">
        <f aca="false">Algae_electricity_factor/Q61</f>
        <v>0.00165643121797226</v>
      </c>
      <c r="AN61" s="220" t="n">
        <f aca="false">Algae_electricity_factor/R61</f>
        <v>0.00152584546630423</v>
      </c>
      <c r="AO61" s="220" t="n">
        <f aca="false">Algae_electricity_factor/S61</f>
        <v>0.0014012761227569</v>
      </c>
      <c r="AP61" s="220" t="n">
        <f aca="false">Algae_electricity_factor/T61</f>
        <v>0.00129551116857785</v>
      </c>
      <c r="AQ61" s="220" t="n">
        <f aca="false">Algae_electricity_factor/U61</f>
        <v>0.00121423631186349</v>
      </c>
      <c r="AR61" s="220" t="n">
        <f aca="false">Algae_electricity_factor/V61</f>
        <v>0.00115643909598531</v>
      </c>
      <c r="AS61" s="220" t="n">
        <f aca="false">Algae_electricity_factor/W61</f>
        <v>0.0011175656367965</v>
      </c>
      <c r="AT61" s="220" t="n">
        <f aca="false">Algae_electricity_factor/X61</f>
        <v>0.00109239046847314</v>
      </c>
      <c r="AU61" s="220" t="n">
        <f aca="false">Algae_electricity_factor/Y61</f>
        <v>0.0010764836813422</v>
      </c>
      <c r="AV61" s="220" t="n">
        <f aca="false">Algae_electricity_factor/Z61</f>
        <v>0.00106658914564469</v>
      </c>
      <c r="AW61" s="220" t="n">
        <f aca="false">Algae_electricity_factor/AA61</f>
        <v>0.0010604942279918</v>
      </c>
      <c r="AX61" s="220" t="n">
        <f aca="false">Algae_electricity_factor/AB61</f>
        <v>0.00105676238592182</v>
      </c>
      <c r="AY61" s="220" t="n">
        <f aca="false">Algae_electricity_factor/AC61</f>
        <v>0.00105448585036681</v>
      </c>
      <c r="AZ61" s="221" t="n">
        <f aca="false">Algae_yield_cost_factor/H61</f>
        <v>0.116361523211542</v>
      </c>
      <c r="BA61" s="197" t="n">
        <f aca="false">Algae_yield_cost_factor/I61</f>
        <v>0.116361523211542</v>
      </c>
      <c r="BB61" s="197" t="n">
        <f aca="false">Algae_yield_cost_factor/J61</f>
        <v>0.116361523211542</v>
      </c>
      <c r="BC61" s="197" t="n">
        <f aca="false">Algae_yield_cost_factor/K61</f>
        <v>0.116361523211542</v>
      </c>
      <c r="BD61" s="197" t="n">
        <f aca="false">Algae_yield_cost_factor/L61</f>
        <v>0.116361523211542</v>
      </c>
      <c r="BE61" s="197" t="n">
        <f aca="false">Algae_yield_cost_factor/M61</f>
        <v>0.111092847896278</v>
      </c>
      <c r="BF61" s="197" t="n">
        <f aca="false">Algae_yield_cost_factor/N61</f>
        <v>0.108156934968179</v>
      </c>
      <c r="BG61" s="197" t="n">
        <f aca="false">Algae_yield_cost_factor/O61</f>
        <v>0.103968208911844</v>
      </c>
      <c r="BH61" s="197" t="n">
        <f aca="false">Algae_yield_cost_factor/P61</f>
        <v>0.0984091774651152</v>
      </c>
      <c r="BI61" s="197" t="n">
        <f aca="false">Algae_yield_cost_factor/Q61</f>
        <v>0.0916996807353908</v>
      </c>
      <c r="BJ61" s="197" t="n">
        <f aca="false">Algae_yield_cost_factor/R61</f>
        <v>0.0844704812330969</v>
      </c>
      <c r="BK61" s="197" t="n">
        <f aca="false">Algae_yield_cost_factor/S61</f>
        <v>0.0775743488076944</v>
      </c>
      <c r="BL61" s="197" t="n">
        <f aca="false">Algae_yield_cost_factor/T61</f>
        <v>0.0717192233874642</v>
      </c>
      <c r="BM61" s="197" t="n">
        <f aca="false">Algae_yield_cost_factor/U61</f>
        <v>0.0672198645661272</v>
      </c>
      <c r="BN61" s="197" t="n">
        <f aca="false">Algae_yield_cost_factor/V61</f>
        <v>0.0640202229595705</v>
      </c>
      <c r="BO61" s="197" t="n">
        <f aca="false">Algae_yield_cost_factor/W61</f>
        <v>0.0618681965077521</v>
      </c>
      <c r="BP61" s="197" t="n">
        <f aca="false">Algae_yield_cost_factor/X61</f>
        <v>0.0604745045314936</v>
      </c>
      <c r="BQ61" s="197" t="n">
        <f aca="false">Algae_yield_cost_factor/Y61</f>
        <v>0.059593908171315</v>
      </c>
      <c r="BR61" s="197" t="n">
        <f aca="false">Algae_yield_cost_factor/Z61</f>
        <v>0.0590461487747023</v>
      </c>
      <c r="BS61" s="197" t="n">
        <f aca="false">Algae_yield_cost_factor/AA61</f>
        <v>0.0587087354267681</v>
      </c>
      <c r="BT61" s="197" t="n">
        <f aca="false">Algae_yield_cost_factor/AB61</f>
        <v>0.058502141441664</v>
      </c>
      <c r="BU61" s="197" t="n">
        <f aca="false">Algae_yield_cost_factor/AC61</f>
        <v>0.0583761129164152</v>
      </c>
    </row>
    <row r="62" customFormat="false" ht="15" hidden="false" customHeight="false" outlineLevel="0" collapsed="false">
      <c r="A62" s="18" t="s">
        <v>699</v>
      </c>
      <c r="B62" s="18" t="s">
        <v>22</v>
      </c>
      <c r="C62" s="18" t="s">
        <v>682</v>
      </c>
      <c r="D62" s="18" t="s">
        <v>682</v>
      </c>
      <c r="E62" s="28" t="n">
        <v>6.638985</v>
      </c>
      <c r="F62" s="185" t="n">
        <f aca="false">E62/$B$2*$F$3/1000</f>
        <v>0.01626551325</v>
      </c>
      <c r="G62" s="18" t="n">
        <f aca="false">LOOKUP(RIGHT(D62,5),Ref!$C$4:$C$21,Ref!$E$4:$E$21)*$G$3</f>
        <v>3</v>
      </c>
      <c r="H62" s="218" t="n">
        <f aca="false">$E62</f>
        <v>6.638985</v>
      </c>
      <c r="I62" s="177" t="n">
        <f aca="false">$E62</f>
        <v>6.638985</v>
      </c>
      <c r="J62" s="177" t="n">
        <f aca="false">$E62</f>
        <v>6.638985</v>
      </c>
      <c r="K62" s="177" t="n">
        <f aca="false">$E62</f>
        <v>6.638985</v>
      </c>
      <c r="L62" s="177" t="n">
        <f aca="false">$E62</f>
        <v>6.638985</v>
      </c>
      <c r="M62" s="177" t="n">
        <f aca="false">M$3*$E62</f>
        <v>6.95384466063777</v>
      </c>
      <c r="N62" s="177" t="n">
        <f aca="false">N$3*$E62</f>
        <v>7.14260631928834</v>
      </c>
      <c r="O62" s="177" t="n">
        <f aca="false">O$3*$E62</f>
        <v>7.43037141126101</v>
      </c>
      <c r="P62" s="177" t="n">
        <f aca="false">P$3*$E62</f>
        <v>7.85010531616754</v>
      </c>
      <c r="Q62" s="177" t="n">
        <f aca="false">Q$3*$E62</f>
        <v>8.42448306235408</v>
      </c>
      <c r="R62" s="177" t="n">
        <f aca="false">R$3*$E62</f>
        <v>9.14547183704086</v>
      </c>
      <c r="S62" s="177" t="n">
        <f aca="false">S$3*$E62</f>
        <v>9.9584775</v>
      </c>
      <c r="T62" s="177" t="n">
        <f aca="false">T$3*$E62</f>
        <v>10.7714831629591</v>
      </c>
      <c r="U62" s="177" t="n">
        <f aca="false">U$3*$E62</f>
        <v>11.4924719376459</v>
      </c>
      <c r="V62" s="177" t="n">
        <f aca="false">V$3*$E62</f>
        <v>12.0668496838325</v>
      </c>
      <c r="W62" s="177" t="n">
        <f aca="false">W$3*$E62</f>
        <v>12.486583588739</v>
      </c>
      <c r="X62" s="177" t="n">
        <f aca="false">X$3*$E62</f>
        <v>12.7743486807117</v>
      </c>
      <c r="Y62" s="177" t="n">
        <f aca="false">Y$3*$E62</f>
        <v>12.9631103393622</v>
      </c>
      <c r="Z62" s="177" t="n">
        <f aca="false">Z$3*$E62</f>
        <v>13.0833665397252</v>
      </c>
      <c r="AA62" s="177" t="n">
        <f aca="false">AA$3*$E62</f>
        <v>13.1585598218548</v>
      </c>
      <c r="AB62" s="177" t="n">
        <f aca="false">AB$3*$E62</f>
        <v>13.2050278526796</v>
      </c>
      <c r="AC62" s="177" t="n">
        <f aca="false">AC$3*$E62</f>
        <v>13.2335362631064</v>
      </c>
      <c r="AD62" s="219" t="n">
        <f aca="false">Algae_electricity_factor/H62</f>
        <v>0.00207013528476556</v>
      </c>
      <c r="AE62" s="220" t="n">
        <f aca="false">Algae_electricity_factor/I62</f>
        <v>0.00207013528476556</v>
      </c>
      <c r="AF62" s="220" t="n">
        <f aca="false">Algae_electricity_factor/J62</f>
        <v>0.00207013528476556</v>
      </c>
      <c r="AG62" s="220" t="n">
        <f aca="false">Algae_electricity_factor/K62</f>
        <v>0.00207013528476556</v>
      </c>
      <c r="AH62" s="220" t="n">
        <f aca="false">Algae_electricity_factor/L62</f>
        <v>0.00207013528476556</v>
      </c>
      <c r="AI62" s="220" t="n">
        <f aca="false">Algae_electricity_factor/M62</f>
        <v>0.00197640266273489</v>
      </c>
      <c r="AJ62" s="220" t="n">
        <f aca="false">Algae_electricity_factor/N62</f>
        <v>0.00192417116234101</v>
      </c>
      <c r="AK62" s="220" t="n">
        <f aca="false">Algae_electricity_factor/O62</f>
        <v>0.00184965142963114</v>
      </c>
      <c r="AL62" s="220" t="n">
        <f aca="false">Algae_electricity_factor/P62</f>
        <v>0.00175075321285485</v>
      </c>
      <c r="AM62" s="220" t="n">
        <f aca="false">Algae_electricity_factor/Q62</f>
        <v>0.00163138758803426</v>
      </c>
      <c r="AN62" s="220" t="n">
        <f aca="false">Algae_electricity_factor/R62</f>
        <v>0.001502776166</v>
      </c>
      <c r="AO62" s="220" t="n">
        <f aca="false">Algae_electricity_factor/S62</f>
        <v>0.0013800901898437</v>
      </c>
      <c r="AP62" s="220" t="n">
        <f aca="false">Algae_electricity_factor/T62</f>
        <v>0.00127592429896661</v>
      </c>
      <c r="AQ62" s="220" t="n">
        <f aca="false">Algae_electricity_factor/U62</f>
        <v>0.0011958782390853</v>
      </c>
      <c r="AR62" s="220" t="n">
        <f aca="false">Algae_electricity_factor/V62</f>
        <v>0.00113895486093138</v>
      </c>
      <c r="AS62" s="220" t="n">
        <f aca="false">Algae_electricity_factor/W62</f>
        <v>0.00110066913065988</v>
      </c>
      <c r="AT62" s="220" t="n">
        <f aca="false">Algae_electricity_factor/X62</f>
        <v>0.0010758745864109</v>
      </c>
      <c r="AU62" s="220" t="n">
        <f aca="false">Algae_electricity_factor/Y62</f>
        <v>0.00106020829443973</v>
      </c>
      <c r="AV62" s="220" t="n">
        <f aca="false">Algae_electricity_factor/Z62</f>
        <v>0.00105046335450432</v>
      </c>
      <c r="AW62" s="220" t="n">
        <f aca="false">Algae_electricity_factor/AA62</f>
        <v>0.00104446058608198</v>
      </c>
      <c r="AX62" s="220" t="n">
        <f aca="false">Algae_electricity_factor/AB62</f>
        <v>0.00104078516583669</v>
      </c>
      <c r="AY62" s="220" t="n">
        <f aca="false">Algae_electricity_factor/AC62</f>
        <v>0.00103854304928644</v>
      </c>
      <c r="AZ62" s="221" t="n">
        <f aca="false">Algae_yield_cost_factor/H62</f>
        <v>0.114602250085852</v>
      </c>
      <c r="BA62" s="197" t="n">
        <f aca="false">Algae_yield_cost_factor/I62</f>
        <v>0.114602250085852</v>
      </c>
      <c r="BB62" s="197" t="n">
        <f aca="false">Algae_yield_cost_factor/J62</f>
        <v>0.114602250085852</v>
      </c>
      <c r="BC62" s="197" t="n">
        <f aca="false">Algae_yield_cost_factor/K62</f>
        <v>0.114602250085852</v>
      </c>
      <c r="BD62" s="197" t="n">
        <f aca="false">Algae_yield_cost_factor/L62</f>
        <v>0.114602250085852</v>
      </c>
      <c r="BE62" s="197" t="n">
        <f aca="false">Algae_yield_cost_factor/M62</f>
        <v>0.109413232020118</v>
      </c>
      <c r="BF62" s="197" t="n">
        <f aca="false">Algae_yield_cost_factor/N62</f>
        <v>0.106521707241738</v>
      </c>
      <c r="BG62" s="197" t="n">
        <f aca="false">Algae_yield_cost_factor/O62</f>
        <v>0.102396310651865</v>
      </c>
      <c r="BH62" s="197" t="n">
        <f aca="false">Algae_yield_cost_factor/P62</f>
        <v>0.096921326357143</v>
      </c>
      <c r="BI62" s="197" t="n">
        <f aca="false">Algae_yield_cost_factor/Q62</f>
        <v>0.0903132706962335</v>
      </c>
      <c r="BJ62" s="197" t="n">
        <f aca="false">Algae_yield_cost_factor/R62</f>
        <v>0.0831933696635163</v>
      </c>
      <c r="BK62" s="197" t="n">
        <f aca="false">Algae_yield_cost_factor/S62</f>
        <v>0.0764015000572344</v>
      </c>
      <c r="BL62" s="197" t="n">
        <f aca="false">Algae_yield_cost_factor/T62</f>
        <v>0.0706348984420822</v>
      </c>
      <c r="BM62" s="197" t="n">
        <f aca="false">Algae_yield_cost_factor/U62</f>
        <v>0.0662035655526748</v>
      </c>
      <c r="BN62" s="197" t="n">
        <f aca="false">Algae_yield_cost_factor/V62</f>
        <v>0.0630522994171062</v>
      </c>
      <c r="BO62" s="197" t="n">
        <f aca="false">Algae_yield_cost_factor/W62</f>
        <v>0.0609328095134351</v>
      </c>
      <c r="BP62" s="197" t="n">
        <f aca="false">Algae_yield_cost_factor/X62</f>
        <v>0.0595601888051666</v>
      </c>
      <c r="BQ62" s="197" t="n">
        <f aca="false">Algae_yield_cost_factor/Y62</f>
        <v>0.0586929062060001</v>
      </c>
      <c r="BR62" s="197" t="n">
        <f aca="false">Algae_yield_cost_factor/Z62</f>
        <v>0.0581534283990333</v>
      </c>
      <c r="BS62" s="197" t="n">
        <f aca="false">Algae_yield_cost_factor/AA62</f>
        <v>0.0578211164129487</v>
      </c>
      <c r="BT62" s="197" t="n">
        <f aca="false">Algae_yield_cost_factor/AB62</f>
        <v>0.0576176459280867</v>
      </c>
      <c r="BU62" s="197" t="n">
        <f aca="false">Algae_yield_cost_factor/AC62</f>
        <v>0.0574935228316379</v>
      </c>
    </row>
    <row r="63" customFormat="false" ht="15" hidden="false" customHeight="false" outlineLevel="0" collapsed="false">
      <c r="A63" s="18" t="s">
        <v>699</v>
      </c>
      <c r="B63" s="18" t="s">
        <v>22</v>
      </c>
      <c r="C63" s="18" t="s">
        <v>683</v>
      </c>
      <c r="D63" s="18" t="s">
        <v>683</v>
      </c>
      <c r="E63" s="28" t="n">
        <v>6.84521</v>
      </c>
      <c r="F63" s="185" t="n">
        <f aca="false">E63/$B$2*$F$3/1000</f>
        <v>0.0167707645</v>
      </c>
      <c r="G63" s="18" t="n">
        <f aca="false">LOOKUP(RIGHT(D63,5),Ref!$C$4:$C$21,Ref!$E$4:$E$21)*$G$3</f>
        <v>3</v>
      </c>
      <c r="H63" s="218" t="n">
        <f aca="false">$E63</f>
        <v>6.84521</v>
      </c>
      <c r="I63" s="177" t="n">
        <f aca="false">$E63</f>
        <v>6.84521</v>
      </c>
      <c r="J63" s="177" t="n">
        <f aca="false">$E63</f>
        <v>6.84521</v>
      </c>
      <c r="K63" s="177" t="n">
        <f aca="false">$E63</f>
        <v>6.84521</v>
      </c>
      <c r="L63" s="177" t="n">
        <f aca="false">$E63</f>
        <v>6.84521</v>
      </c>
      <c r="M63" s="177" t="n">
        <f aca="false">M$3*$E63</f>
        <v>7.16985006133381</v>
      </c>
      <c r="N63" s="177" t="n">
        <f aca="false">N$3*$E63</f>
        <v>7.36447517246322</v>
      </c>
      <c r="O63" s="177" t="n">
        <f aca="false">O$3*$E63</f>
        <v>7.66117903385502</v>
      </c>
      <c r="P63" s="177" t="n">
        <f aca="false">P$3*$E63</f>
        <v>8.09395101981451</v>
      </c>
      <c r="Q63" s="177" t="n">
        <f aca="false">Q$3*$E63</f>
        <v>8.6861705069761</v>
      </c>
      <c r="R63" s="177" t="n">
        <f aca="false">R$3*$E63</f>
        <v>9.42955516146375</v>
      </c>
      <c r="S63" s="177" t="n">
        <f aca="false">S$3*$E63</f>
        <v>10.267815</v>
      </c>
      <c r="T63" s="177" t="n">
        <f aca="false">T$3*$E63</f>
        <v>11.1060748385362</v>
      </c>
      <c r="U63" s="177" t="n">
        <f aca="false">U$3*$E63</f>
        <v>11.8494594930239</v>
      </c>
      <c r="V63" s="177" t="n">
        <f aca="false">V$3*$E63</f>
        <v>12.4416789801855</v>
      </c>
      <c r="W63" s="177" t="n">
        <f aca="false">W$3*$E63</f>
        <v>12.874450966145</v>
      </c>
      <c r="X63" s="177" t="n">
        <f aca="false">X$3*$E63</f>
        <v>13.1711548275368</v>
      </c>
      <c r="Y63" s="177" t="n">
        <f aca="false">Y$3*$E63</f>
        <v>13.3657799386662</v>
      </c>
      <c r="Z63" s="177" t="n">
        <f aca="false">Z$3*$E63</f>
        <v>13.4897716249385</v>
      </c>
      <c r="AA63" s="177" t="n">
        <f aca="false">AA$3*$E63</f>
        <v>13.5673006157054</v>
      </c>
      <c r="AB63" s="177" t="n">
        <f aca="false">AB$3*$E63</f>
        <v>13.6152120704356</v>
      </c>
      <c r="AC63" s="177" t="n">
        <f aca="false">AC$3*$E63</f>
        <v>13.6446060299246</v>
      </c>
      <c r="AD63" s="219" t="n">
        <f aca="false">Algae_electricity_factor/H63</f>
        <v>0.00200776851309591</v>
      </c>
      <c r="AE63" s="220" t="n">
        <f aca="false">Algae_electricity_factor/I63</f>
        <v>0.00200776851309591</v>
      </c>
      <c r="AF63" s="220" t="n">
        <f aca="false">Algae_electricity_factor/J63</f>
        <v>0.00200776851309591</v>
      </c>
      <c r="AG63" s="220" t="n">
        <f aca="false">Algae_electricity_factor/K63</f>
        <v>0.00200776851309591</v>
      </c>
      <c r="AH63" s="220" t="n">
        <f aca="false">Algae_electricity_factor/L63</f>
        <v>0.00200776851309591</v>
      </c>
      <c r="AI63" s="220" t="n">
        <f aca="false">Algae_electricity_factor/M63</f>
        <v>0.00191685976498266</v>
      </c>
      <c r="AJ63" s="220" t="n">
        <f aca="false">Algae_electricity_factor/N63</f>
        <v>0.00186620183810497</v>
      </c>
      <c r="AK63" s="220" t="n">
        <f aca="false">Algae_electricity_factor/O63</f>
        <v>0.00179392715439697</v>
      </c>
      <c r="AL63" s="220" t="n">
        <f aca="false">Algae_electricity_factor/P63</f>
        <v>0.00169800843492678</v>
      </c>
      <c r="AM63" s="220" t="n">
        <f aca="false">Algae_electricity_factor/Q63</f>
        <v>0.00158223892709582</v>
      </c>
      <c r="AN63" s="220" t="n">
        <f aca="false">Algae_electricity_factor/R63</f>
        <v>0.00145750216931716</v>
      </c>
      <c r="AO63" s="220" t="n">
        <f aca="false">Algae_electricity_factor/S63</f>
        <v>0.00133851234206394</v>
      </c>
      <c r="AP63" s="220" t="n">
        <f aca="false">Algae_electricity_factor/T63</f>
        <v>0.00123748464721679</v>
      </c>
      <c r="AQ63" s="220" t="n">
        <f aca="false">Algae_electricity_factor/U63</f>
        <v>0.00115985012747801</v>
      </c>
      <c r="AR63" s="220" t="n">
        <f aca="false">Algae_electricity_factor/V63</f>
        <v>0.00110464167460173</v>
      </c>
      <c r="AS63" s="220" t="n">
        <f aca="false">Algae_electricity_factor/W63</f>
        <v>0.00106750937493722</v>
      </c>
      <c r="AT63" s="220" t="n">
        <f aca="false">Algae_electricity_factor/X63</f>
        <v>0.00104346181359858</v>
      </c>
      <c r="AU63" s="220" t="n">
        <f aca="false">Algae_electricity_factor/Y63</f>
        <v>0.00102826749853707</v>
      </c>
      <c r="AV63" s="220" t="n">
        <f aca="false">Algae_electricity_factor/Z63</f>
        <v>0.0010188161434936</v>
      </c>
      <c r="AW63" s="220" t="n">
        <f aca="false">Algae_electricity_factor/AA63</f>
        <v>0.00101299421991282</v>
      </c>
      <c r="AX63" s="220" t="n">
        <f aca="false">Algae_electricity_factor/AB63</f>
        <v>0.00100942952870873</v>
      </c>
      <c r="AY63" s="220" t="n">
        <f aca="false">Algae_electricity_factor/AC63</f>
        <v>0.00100725496019362</v>
      </c>
      <c r="AZ63" s="221" t="n">
        <f aca="false">Algae_yield_cost_factor/H63</f>
        <v>0.11114963884033</v>
      </c>
      <c r="BA63" s="197" t="n">
        <f aca="false">Algae_yield_cost_factor/I63</f>
        <v>0.11114963884033</v>
      </c>
      <c r="BB63" s="197" t="n">
        <f aca="false">Algae_yield_cost_factor/J63</f>
        <v>0.11114963884033</v>
      </c>
      <c r="BC63" s="197" t="n">
        <f aca="false">Algae_yield_cost_factor/K63</f>
        <v>0.11114963884033</v>
      </c>
      <c r="BD63" s="197" t="n">
        <f aca="false">Algae_yield_cost_factor/L63</f>
        <v>0.11114963884033</v>
      </c>
      <c r="BE63" s="197" t="n">
        <f aca="false">Algae_yield_cost_factor/M63</f>
        <v>0.106116949835444</v>
      </c>
      <c r="BF63" s="197" t="n">
        <f aca="false">Algae_yield_cost_factor/N63</f>
        <v>0.103312537753011</v>
      </c>
      <c r="BG63" s="197" t="n">
        <f aca="false">Algae_yield_cost_factor/O63</f>
        <v>0.0993114265994865</v>
      </c>
      <c r="BH63" s="197" t="n">
        <f aca="false">Algae_yield_cost_factor/P63</f>
        <v>0.0940013866433867</v>
      </c>
      <c r="BI63" s="197" t="n">
        <f aca="false">Algae_yield_cost_factor/Q63</f>
        <v>0.0875924112559342</v>
      </c>
      <c r="BJ63" s="197" t="n">
        <f aca="false">Algae_yield_cost_factor/R63</f>
        <v>0.0806870108142102</v>
      </c>
      <c r="BK63" s="197" t="n">
        <f aca="false">Algae_yield_cost_factor/S63</f>
        <v>0.0740997592268869</v>
      </c>
      <c r="BL63" s="197" t="n">
        <f aca="false">Algae_yield_cost_factor/T63</f>
        <v>0.0685068874780331</v>
      </c>
      <c r="BM63" s="197" t="n">
        <f aca="false">Algae_yield_cost_factor/U63</f>
        <v>0.0642090569391918</v>
      </c>
      <c r="BN63" s="197" t="n">
        <f aca="false">Algae_yield_cost_factor/V63</f>
        <v>0.0611527287030898</v>
      </c>
      <c r="BO63" s="197" t="n">
        <f aca="false">Algae_yield_cost_factor/W63</f>
        <v>0.0590970924730655</v>
      </c>
      <c r="BP63" s="197" t="n">
        <f aca="false">Algae_yield_cost_factor/X63</f>
        <v>0.0577658245802056</v>
      </c>
      <c r="BQ63" s="197" t="n">
        <f aca="false">Algae_yield_cost_factor/Y63</f>
        <v>0.0569246705226051</v>
      </c>
      <c r="BR63" s="197" t="n">
        <f aca="false">Algae_yield_cost_factor/Z63</f>
        <v>0.0564014455129581</v>
      </c>
      <c r="BS63" s="197" t="n">
        <f aca="false">Algae_yield_cost_factor/AA63</f>
        <v>0.0560791450589274</v>
      </c>
      <c r="BT63" s="197" t="n">
        <f aca="false">Algae_yield_cost_factor/AB63</f>
        <v>0.0558818045102895</v>
      </c>
      <c r="BU63" s="197" t="n">
        <f aca="false">Algae_yield_cost_factor/AC63</f>
        <v>0.0557614208587321</v>
      </c>
    </row>
    <row r="64" customFormat="false" ht="15" hidden="false" customHeight="false" outlineLevel="0" collapsed="false">
      <c r="A64" s="18" t="s">
        <v>699</v>
      </c>
      <c r="B64" s="18" t="s">
        <v>22</v>
      </c>
      <c r="C64" s="18" t="s">
        <v>684</v>
      </c>
      <c r="D64" s="18" t="s">
        <v>684</v>
      </c>
      <c r="E64" s="28" t="n">
        <v>6.457507</v>
      </c>
      <c r="F64" s="185" t="n">
        <f aca="false">E64/$B$2*$F$3/1000</f>
        <v>0.01582089215</v>
      </c>
      <c r="G64" s="18" t="n">
        <f aca="false">LOOKUP(RIGHT(D64,5),Ref!$C$4:$C$21,Ref!$E$4:$E$21)*$G$3</f>
        <v>3.5</v>
      </c>
      <c r="H64" s="218" t="n">
        <f aca="false">$E64</f>
        <v>6.457507</v>
      </c>
      <c r="I64" s="177" t="n">
        <f aca="false">$E64</f>
        <v>6.457507</v>
      </c>
      <c r="J64" s="177" t="n">
        <f aca="false">$E64</f>
        <v>6.457507</v>
      </c>
      <c r="K64" s="177" t="n">
        <f aca="false">$E64</f>
        <v>6.457507</v>
      </c>
      <c r="L64" s="177" t="n">
        <f aca="false">$E64</f>
        <v>6.457507</v>
      </c>
      <c r="M64" s="177" t="n">
        <f aca="false">M$3*$E64</f>
        <v>6.76375990802525</v>
      </c>
      <c r="N64" s="177" t="n">
        <f aca="false">N$3*$E64</f>
        <v>6.94736172849444</v>
      </c>
      <c r="O64" s="177" t="n">
        <f aca="false">O$3*$E64</f>
        <v>7.22726070337828</v>
      </c>
      <c r="P64" s="177" t="n">
        <f aca="false">P$3*$E64</f>
        <v>7.63552109695821</v>
      </c>
      <c r="Q64" s="177" t="n">
        <f aca="false">Q$3*$E64</f>
        <v>8.19419811108669</v>
      </c>
      <c r="R64" s="177" t="n">
        <f aca="false">R$3*$E64</f>
        <v>8.89547851154871</v>
      </c>
      <c r="S64" s="177" t="n">
        <f aca="false">S$3*$E64</f>
        <v>9.6862605</v>
      </c>
      <c r="T64" s="177" t="n">
        <f aca="false">T$3*$E64</f>
        <v>10.4770424884513</v>
      </c>
      <c r="U64" s="177" t="n">
        <f aca="false">U$3*$E64</f>
        <v>11.1783228889133</v>
      </c>
      <c r="V64" s="177" t="n">
        <f aca="false">V$3*$E64</f>
        <v>11.7369999030418</v>
      </c>
      <c r="W64" s="177" t="n">
        <f aca="false">W$3*$E64</f>
        <v>12.1452602966217</v>
      </c>
      <c r="X64" s="177" t="n">
        <f aca="false">X$3*$E64</f>
        <v>12.4251592715056</v>
      </c>
      <c r="Y64" s="177" t="n">
        <f aca="false">Y$3*$E64</f>
        <v>12.6087610919748</v>
      </c>
      <c r="Z64" s="177" t="n">
        <f aca="false">Z$3*$E64</f>
        <v>12.7257300647375</v>
      </c>
      <c r="AA64" s="177" t="n">
        <f aca="false">AA$3*$E64</f>
        <v>12.7988679232663</v>
      </c>
      <c r="AB64" s="177" t="n">
        <f aca="false">AB$3*$E64</f>
        <v>12.8440657410543</v>
      </c>
      <c r="AC64" s="177" t="n">
        <f aca="false">AC$3*$E64</f>
        <v>12.8717948683065</v>
      </c>
      <c r="AD64" s="219" t="n">
        <f aca="false">Algae_electricity_factor/H64</f>
        <v>0.00212831315607234</v>
      </c>
      <c r="AE64" s="220" t="n">
        <f aca="false">Algae_electricity_factor/I64</f>
        <v>0.00212831315607234</v>
      </c>
      <c r="AF64" s="220" t="n">
        <f aca="false">Algae_electricity_factor/J64</f>
        <v>0.00212831315607234</v>
      </c>
      <c r="AG64" s="220" t="n">
        <f aca="false">Algae_electricity_factor/K64</f>
        <v>0.00212831315607234</v>
      </c>
      <c r="AH64" s="220" t="n">
        <f aca="false">Algae_electricity_factor/L64</f>
        <v>0.00212831315607234</v>
      </c>
      <c r="AI64" s="220" t="n">
        <f aca="false">Algae_electricity_factor/M64</f>
        <v>0.00203194632725245</v>
      </c>
      <c r="AJ64" s="220" t="n">
        <f aca="false">Algae_electricity_factor/N64</f>
        <v>0.00197824694331954</v>
      </c>
      <c r="AK64" s="220" t="n">
        <f aca="false">Algae_electricity_factor/O64</f>
        <v>0.00190163295162509</v>
      </c>
      <c r="AL64" s="220" t="n">
        <f aca="false">Algae_electricity_factor/P64</f>
        <v>0.00179995535720599</v>
      </c>
      <c r="AM64" s="220" t="n">
        <f aca="false">Algae_electricity_factor/Q64</f>
        <v>0.00167723515067744</v>
      </c>
      <c r="AN64" s="220" t="n">
        <f aca="false">Algae_electricity_factor/R64</f>
        <v>0.00154500930845782</v>
      </c>
      <c r="AO64" s="220" t="n">
        <f aca="false">Algae_electricity_factor/S64</f>
        <v>0.00141887543738156</v>
      </c>
      <c r="AP64" s="220" t="n">
        <f aca="false">Algae_electricity_factor/T64</f>
        <v>0.00131178212922957</v>
      </c>
      <c r="AQ64" s="220" t="n">
        <f aca="false">Algae_electricity_factor/U64</f>
        <v>0.00122948650169698</v>
      </c>
      <c r="AR64" s="220" t="n">
        <f aca="false">Algae_electricity_factor/V64</f>
        <v>0.00117096338221554</v>
      </c>
      <c r="AS64" s="220" t="n">
        <f aca="false">Algae_electricity_factor/W64</f>
        <v>0.00113160169217222</v>
      </c>
      <c r="AT64" s="220" t="n">
        <f aca="false">Algae_electricity_factor/X64</f>
        <v>0.00110611033655297</v>
      </c>
      <c r="AU64" s="220" t="n">
        <f aca="false">Algae_electricity_factor/Y64</f>
        <v>0.00109000376827481</v>
      </c>
      <c r="AV64" s="220" t="n">
        <f aca="false">Algae_electricity_factor/Z64</f>
        <v>0.00107998496224686</v>
      </c>
      <c r="AW64" s="220" t="n">
        <f aca="false">Algae_electricity_factor/AA64</f>
        <v>0.00107381349553155</v>
      </c>
      <c r="AX64" s="220" t="n">
        <f aca="false">Algae_electricity_factor/AB64</f>
        <v>0.00107003478342529</v>
      </c>
      <c r="AY64" s="220" t="n">
        <f aca="false">Algae_electricity_factor/AC64</f>
        <v>0.00106772965574283</v>
      </c>
      <c r="AZ64" s="221" t="n">
        <f aca="false">Algae_yield_cost_factor/H64</f>
        <v>0.117822964696162</v>
      </c>
      <c r="BA64" s="197" t="n">
        <f aca="false">Algae_yield_cost_factor/I64</f>
        <v>0.117822964696162</v>
      </c>
      <c r="BB64" s="197" t="n">
        <f aca="false">Algae_yield_cost_factor/J64</f>
        <v>0.117822964696162</v>
      </c>
      <c r="BC64" s="197" t="n">
        <f aca="false">Algae_yield_cost_factor/K64</f>
        <v>0.117822964696162</v>
      </c>
      <c r="BD64" s="197" t="n">
        <f aca="false">Algae_yield_cost_factor/L64</f>
        <v>0.117822964696162</v>
      </c>
      <c r="BE64" s="197" t="n">
        <f aca="false">Algae_yield_cost_factor/M64</f>
        <v>0.11248811750155</v>
      </c>
      <c r="BF64" s="197" t="n">
        <f aca="false">Algae_yield_cost_factor/N64</f>
        <v>0.109515331001931</v>
      </c>
      <c r="BG64" s="197" t="n">
        <f aca="false">Algae_yield_cost_factor/O64</f>
        <v>0.10527399667907</v>
      </c>
      <c r="BH64" s="197" t="n">
        <f aca="false">Algae_yield_cost_factor/P64</f>
        <v>0.0996451466278205</v>
      </c>
      <c r="BI64" s="197" t="n">
        <f aca="false">Algae_yield_cost_factor/Q64</f>
        <v>0.0928513820353944</v>
      </c>
      <c r="BJ64" s="197" t="n">
        <f aca="false">Algae_yield_cost_factor/R64</f>
        <v>0.0855313874681886</v>
      </c>
      <c r="BK64" s="197" t="n">
        <f aca="false">Algae_yield_cost_factor/S64</f>
        <v>0.0785486431307746</v>
      </c>
      <c r="BL64" s="197" t="n">
        <f aca="false">Algae_yield_cost_factor/T64</f>
        <v>0.0726199803164762</v>
      </c>
      <c r="BM64" s="197" t="n">
        <f aca="false">Algae_yield_cost_factor/U64</f>
        <v>0.0680641118392477</v>
      </c>
      <c r="BN64" s="197" t="n">
        <f aca="false">Algae_yield_cost_factor/V64</f>
        <v>0.0648242843632499</v>
      </c>
      <c r="BO64" s="197" t="n">
        <f aca="false">Algae_yield_cost_factor/W64</f>
        <v>0.0626452295549278</v>
      </c>
      <c r="BP64" s="197" t="n">
        <f aca="false">Algae_yield_cost_factor/X64</f>
        <v>0.061234033517063</v>
      </c>
      <c r="BQ64" s="197" t="n">
        <f aca="false">Algae_yield_cost_factor/Y64</f>
        <v>0.0603423773149672</v>
      </c>
      <c r="BR64" s="197" t="n">
        <f aca="false">Algae_yield_cost_factor/Z64</f>
        <v>0.0597877383392315</v>
      </c>
      <c r="BS64" s="197" t="n">
        <f aca="false">Algae_yield_cost_factor/AA64</f>
        <v>0.0594460872514456</v>
      </c>
      <c r="BT64" s="197" t="n">
        <f aca="false">Algae_yield_cost_factor/AB64</f>
        <v>0.0592368985510784</v>
      </c>
      <c r="BU64" s="197" t="n">
        <f aca="false">Algae_yield_cost_factor/AC64</f>
        <v>0.0591092871717214</v>
      </c>
    </row>
    <row r="65" customFormat="false" ht="15" hidden="false" customHeight="false" outlineLevel="0" collapsed="false">
      <c r="A65" s="18" t="s">
        <v>699</v>
      </c>
      <c r="B65" s="18" t="s">
        <v>22</v>
      </c>
      <c r="C65" s="18" t="s">
        <v>685</v>
      </c>
      <c r="D65" s="18" t="s">
        <v>685</v>
      </c>
      <c r="E65" s="28" t="n">
        <v>6.365527</v>
      </c>
      <c r="F65" s="185" t="n">
        <f aca="false">E65/$B$2*$F$3/1000</f>
        <v>0.01559554115</v>
      </c>
      <c r="G65" s="18" t="n">
        <f aca="false">LOOKUP(RIGHT(D65,5),Ref!$C$4:$C$21,Ref!$E$4:$E$21)*$G$3</f>
        <v>4</v>
      </c>
      <c r="H65" s="218" t="n">
        <f aca="false">$E65</f>
        <v>6.365527</v>
      </c>
      <c r="I65" s="177" t="n">
        <f aca="false">$E65</f>
        <v>6.365527</v>
      </c>
      <c r="J65" s="177" t="n">
        <f aca="false">$E65</f>
        <v>6.365527</v>
      </c>
      <c r="K65" s="177" t="n">
        <f aca="false">$E65</f>
        <v>6.365527</v>
      </c>
      <c r="L65" s="177" t="n">
        <f aca="false">$E65</f>
        <v>6.365527</v>
      </c>
      <c r="M65" s="177" t="n">
        <f aca="false">M$3*$E65</f>
        <v>6.66741767621038</v>
      </c>
      <c r="N65" s="177" t="n">
        <f aca="false">N$3*$E65</f>
        <v>6.84840429309609</v>
      </c>
      <c r="O65" s="177" t="n">
        <f aca="false">O$3*$E65</f>
        <v>7.12431641861068</v>
      </c>
      <c r="P65" s="177" t="n">
        <f aca="false">P$3*$E65</f>
        <v>7.5267615972785</v>
      </c>
      <c r="Q65" s="177" t="n">
        <f aca="false">Q$3*$E65</f>
        <v>8.07748087914908</v>
      </c>
      <c r="R65" s="177" t="n">
        <f aca="false">R$3*$E65</f>
        <v>8.76877232083265</v>
      </c>
      <c r="S65" s="177" t="n">
        <f aca="false">S$3*$E65</f>
        <v>9.5482905</v>
      </c>
      <c r="T65" s="177" t="n">
        <f aca="false">T$3*$E65</f>
        <v>10.3278086791673</v>
      </c>
      <c r="U65" s="177" t="n">
        <f aca="false">U$3*$E65</f>
        <v>11.0191001208509</v>
      </c>
      <c r="V65" s="177" t="n">
        <f aca="false">V$3*$E65</f>
        <v>11.5698194027215</v>
      </c>
      <c r="W65" s="177" t="n">
        <f aca="false">W$3*$E65</f>
        <v>11.9722645813893</v>
      </c>
      <c r="X65" s="177" t="n">
        <f aca="false">X$3*$E65</f>
        <v>12.2481767069039</v>
      </c>
      <c r="Y65" s="177" t="n">
        <f aca="false">Y$3*$E65</f>
        <v>12.4291633237896</v>
      </c>
      <c r="Z65" s="177" t="n">
        <f aca="false">Z$3*$E65</f>
        <v>12.544466203722</v>
      </c>
      <c r="AA65" s="177" t="n">
        <f aca="false">AA$3*$E65</f>
        <v>12.6165622948586</v>
      </c>
      <c r="AB65" s="177" t="n">
        <f aca="false">AB$3*$E65</f>
        <v>12.6611163200375</v>
      </c>
      <c r="AC65" s="177" t="n">
        <f aca="false">AC$3*$E65</f>
        <v>12.6884504767345</v>
      </c>
      <c r="AD65" s="219" t="n">
        <f aca="false">Algae_electricity_factor/H65</f>
        <v>0.00215906665756492</v>
      </c>
      <c r="AE65" s="220" t="n">
        <f aca="false">Algae_electricity_factor/I65</f>
        <v>0.00215906665756492</v>
      </c>
      <c r="AF65" s="220" t="n">
        <f aca="false">Algae_electricity_factor/J65</f>
        <v>0.00215906665756492</v>
      </c>
      <c r="AG65" s="220" t="n">
        <f aca="false">Algae_electricity_factor/K65</f>
        <v>0.00215906665756492</v>
      </c>
      <c r="AH65" s="220" t="n">
        <f aca="false">Algae_electricity_factor/L65</f>
        <v>0.00215906665756492</v>
      </c>
      <c r="AI65" s="220" t="n">
        <f aca="false">Algae_electricity_factor/M65</f>
        <v>0.00206130735630482</v>
      </c>
      <c r="AJ65" s="220" t="n">
        <f aca="false">Algae_electricity_factor/N65</f>
        <v>0.00200683203200843</v>
      </c>
      <c r="AK65" s="220" t="n">
        <f aca="false">Algae_electricity_factor/O65</f>
        <v>0.0019291109905825</v>
      </c>
      <c r="AL65" s="220" t="n">
        <f aca="false">Algae_electricity_factor/P65</f>
        <v>0.00182596418471639</v>
      </c>
      <c r="AM65" s="220" t="n">
        <f aca="false">Algae_electricity_factor/Q65</f>
        <v>0.0017014707071615</v>
      </c>
      <c r="AN65" s="220" t="n">
        <f aca="false">Algae_electricity_factor/R65</f>
        <v>0.00156733424026503</v>
      </c>
      <c r="AO65" s="220" t="n">
        <f aca="false">Algae_electricity_factor/S65</f>
        <v>0.00143937777170995</v>
      </c>
      <c r="AP65" s="220" t="n">
        <f aca="false">Algae_electricity_factor/T65</f>
        <v>0.00133073699663434</v>
      </c>
      <c r="AQ65" s="220" t="n">
        <f aca="false">Algae_electricity_factor/U65</f>
        <v>0.00124725222139718</v>
      </c>
      <c r="AR65" s="220" t="n">
        <f aca="false">Algae_electricity_factor/V65</f>
        <v>0.00118788345998698</v>
      </c>
      <c r="AS65" s="220" t="n">
        <f aca="false">Algae_electricity_factor/W65</f>
        <v>0.00114795300505582</v>
      </c>
      <c r="AT65" s="220" t="n">
        <f aca="false">Algae_electricity_factor/X65</f>
        <v>0.00112209330681704</v>
      </c>
      <c r="AU65" s="220" t="n">
        <f aca="false">Algae_electricity_factor/Y65</f>
        <v>0.00110575400334661</v>
      </c>
      <c r="AV65" s="220" t="n">
        <f aca="false">Algae_electricity_factor/Z65</f>
        <v>0.00109559042850715</v>
      </c>
      <c r="AW65" s="220" t="n">
        <f aca="false">Algae_electricity_factor/AA65</f>
        <v>0.00108932978590609</v>
      </c>
      <c r="AX65" s="220" t="n">
        <f aca="false">Algae_electricity_factor/AB65</f>
        <v>0.00108549647251709</v>
      </c>
      <c r="AY65" s="220" t="n">
        <f aca="false">Algae_electricity_factor/AC65</f>
        <v>0.00108315803641504</v>
      </c>
      <c r="AZ65" s="221" t="n">
        <f aca="false">Algae_yield_cost_factor/H65</f>
        <v>0.119525472012956</v>
      </c>
      <c r="BA65" s="197" t="n">
        <f aca="false">Algae_yield_cost_factor/I65</f>
        <v>0.119525472012956</v>
      </c>
      <c r="BB65" s="197" t="n">
        <f aca="false">Algae_yield_cost_factor/J65</f>
        <v>0.119525472012956</v>
      </c>
      <c r="BC65" s="197" t="n">
        <f aca="false">Algae_yield_cost_factor/K65</f>
        <v>0.119525472012956</v>
      </c>
      <c r="BD65" s="197" t="n">
        <f aca="false">Algae_yield_cost_factor/L65</f>
        <v>0.119525472012956</v>
      </c>
      <c r="BE65" s="197" t="n">
        <f aca="false">Algae_yield_cost_factor/M65</f>
        <v>0.114113537839535</v>
      </c>
      <c r="BF65" s="197" t="n">
        <f aca="false">Algae_yield_cost_factor/N65</f>
        <v>0.111097795446047</v>
      </c>
      <c r="BG65" s="197" t="n">
        <f aca="false">Algae_yield_cost_factor/O65</f>
        <v>0.106795175084965</v>
      </c>
      <c r="BH65" s="197" t="n">
        <f aca="false">Algae_yield_cost_factor/P65</f>
        <v>0.101084989799773</v>
      </c>
      <c r="BI65" s="197" t="n">
        <f aca="false">Algae_yield_cost_factor/Q65</f>
        <v>0.094193057299613</v>
      </c>
      <c r="BJ65" s="197" t="n">
        <f aca="false">Algae_yield_cost_factor/R65</f>
        <v>0.0867672909557276</v>
      </c>
      <c r="BK65" s="197" t="n">
        <f aca="false">Algae_yield_cost_factor/S65</f>
        <v>0.0796836480086375</v>
      </c>
      <c r="BL65" s="197" t="n">
        <f aca="false">Algae_yield_cost_factor/T65</f>
        <v>0.0736693177538179</v>
      </c>
      <c r="BM65" s="197" t="n">
        <f aca="false">Algae_yield_cost_factor/U65</f>
        <v>0.0690476183119991</v>
      </c>
      <c r="BN65" s="197" t="n">
        <f aca="false">Algae_yield_cost_factor/V65</f>
        <v>0.0657609762782684</v>
      </c>
      <c r="BO65" s="197" t="n">
        <f aca="false">Algae_yield_cost_factor/W65</f>
        <v>0.0635504347664464</v>
      </c>
      <c r="BP65" s="197" t="n">
        <f aca="false">Algae_yield_cost_factor/X65</f>
        <v>0.0621188473593261</v>
      </c>
      <c r="BQ65" s="197" t="n">
        <f aca="false">Algae_yield_cost_factor/Y65</f>
        <v>0.0612143069863723</v>
      </c>
      <c r="BR65" s="197" t="n">
        <f aca="false">Algae_yield_cost_factor/Z65</f>
        <v>0.060651653639951</v>
      </c>
      <c r="BS65" s="197" t="n">
        <f aca="false">Algae_yield_cost_factor/AA65</f>
        <v>0.0603050657940529</v>
      </c>
      <c r="BT65" s="197" t="n">
        <f aca="false">Algae_yield_cost_factor/AB65</f>
        <v>0.0600928543782594</v>
      </c>
      <c r="BU65" s="197" t="n">
        <f aca="false">Algae_yield_cost_factor/AC65</f>
        <v>0.0599633990518619</v>
      </c>
    </row>
    <row r="66" customFormat="false" ht="15" hidden="false" customHeight="false" outlineLevel="0" collapsed="false">
      <c r="A66" s="18" t="s">
        <v>699</v>
      </c>
      <c r="B66" s="18" t="s">
        <v>22</v>
      </c>
      <c r="C66" s="18" t="s">
        <v>686</v>
      </c>
      <c r="D66" s="18" t="s">
        <v>686</v>
      </c>
      <c r="E66" s="28" t="n">
        <v>6.2068615</v>
      </c>
      <c r="F66" s="185" t="n">
        <f aca="false">E66/$B$2*$F$3/1000</f>
        <v>0.015206810675</v>
      </c>
      <c r="G66" s="18" t="n">
        <f aca="false">LOOKUP(RIGHT(D66,5),Ref!$C$4:$C$21,Ref!$E$4:$E$21)*$G$3</f>
        <v>4.5</v>
      </c>
      <c r="H66" s="218" t="n">
        <f aca="false">$E66</f>
        <v>6.2068615</v>
      </c>
      <c r="I66" s="177" t="n">
        <f aca="false">$E66</f>
        <v>6.2068615</v>
      </c>
      <c r="J66" s="177" t="n">
        <f aca="false">$E66</f>
        <v>6.2068615</v>
      </c>
      <c r="K66" s="177" t="n">
        <f aca="false">$E66</f>
        <v>6.2068615</v>
      </c>
      <c r="L66" s="177" t="n">
        <f aca="false">$E66</f>
        <v>6.2068615</v>
      </c>
      <c r="M66" s="177" t="n">
        <f aca="false">M$3*$E66</f>
        <v>6.50122732632972</v>
      </c>
      <c r="N66" s="177" t="n">
        <f aca="false">N$3*$E66</f>
        <v>6.67770271703393</v>
      </c>
      <c r="O66" s="177" t="n">
        <f aca="false">O$3*$E66</f>
        <v>6.94673752738658</v>
      </c>
      <c r="P66" s="177" t="n">
        <f aca="false">P$3*$E66</f>
        <v>7.33915146033101</v>
      </c>
      <c r="Q66" s="177" t="n">
        <f aca="false">Q$3*$E66</f>
        <v>7.8761436540567</v>
      </c>
      <c r="R66" s="177" t="n">
        <f aca="false">R$3*$E66</f>
        <v>8.55020414184746</v>
      </c>
      <c r="S66" s="177" t="n">
        <f aca="false">S$3*$E66</f>
        <v>9.31029225</v>
      </c>
      <c r="T66" s="177" t="n">
        <f aca="false">T$3*$E66</f>
        <v>10.0703803581525</v>
      </c>
      <c r="U66" s="177" t="n">
        <f aca="false">U$3*$E66</f>
        <v>10.7444408459433</v>
      </c>
      <c r="V66" s="177" t="n">
        <f aca="false">V$3*$E66</f>
        <v>11.281433039669</v>
      </c>
      <c r="W66" s="177" t="n">
        <f aca="false">W$3*$E66</f>
        <v>11.6738469726134</v>
      </c>
      <c r="X66" s="177" t="n">
        <f aca="false">X$3*$E66</f>
        <v>11.9428817829661</v>
      </c>
      <c r="Y66" s="177" t="n">
        <f aca="false">Y$3*$E66</f>
        <v>12.1193571736703</v>
      </c>
      <c r="Z66" s="177" t="n">
        <f aca="false">Z$3*$E66</f>
        <v>12.2317860434703</v>
      </c>
      <c r="AA66" s="177" t="n">
        <f aca="false">AA$3*$E66</f>
        <v>12.3020850858554</v>
      </c>
      <c r="AB66" s="177" t="n">
        <f aca="false">AB$3*$E66</f>
        <v>12.3455285687835</v>
      </c>
      <c r="AC66" s="177" t="n">
        <f aca="false">AC$3*$E66</f>
        <v>12.3721814012728</v>
      </c>
      <c r="AD66" s="219" t="n">
        <f aca="false">Algae_electricity_factor/H66</f>
        <v>0.00221425870442401</v>
      </c>
      <c r="AE66" s="220" t="n">
        <f aca="false">Algae_electricity_factor/I66</f>
        <v>0.00221425870442401</v>
      </c>
      <c r="AF66" s="220" t="n">
        <f aca="false">Algae_electricity_factor/J66</f>
        <v>0.00221425870442401</v>
      </c>
      <c r="AG66" s="220" t="n">
        <f aca="false">Algae_electricity_factor/K66</f>
        <v>0.00221425870442401</v>
      </c>
      <c r="AH66" s="220" t="n">
        <f aca="false">Algae_electricity_factor/L66</f>
        <v>0.00221425870442401</v>
      </c>
      <c r="AI66" s="220" t="n">
        <f aca="false">Algae_electricity_factor/M66</f>
        <v>0.00211400039002916</v>
      </c>
      <c r="AJ66" s="220" t="n">
        <f aca="false">Algae_electricity_factor/N66</f>
        <v>0.00205813251741069</v>
      </c>
      <c r="AK66" s="220" t="n">
        <f aca="false">Algae_electricity_factor/O66</f>
        <v>0.00197842469927026</v>
      </c>
      <c r="AL66" s="220" t="n">
        <f aca="false">Algae_electricity_factor/P66</f>
        <v>0.0018726411599236</v>
      </c>
      <c r="AM66" s="220" t="n">
        <f aca="false">Algae_electricity_factor/Q66</f>
        <v>0.00174496526564119</v>
      </c>
      <c r="AN66" s="220" t="n">
        <f aca="false">Algae_electricity_factor/R66</f>
        <v>0.00160739987905829</v>
      </c>
      <c r="AO66" s="220" t="n">
        <f aca="false">Algae_electricity_factor/S66</f>
        <v>0.00147617246961601</v>
      </c>
      <c r="AP66" s="220" t="n">
        <f aca="false">Algae_electricity_factor/T66</f>
        <v>0.00136475451916799</v>
      </c>
      <c r="AQ66" s="220" t="n">
        <f aca="false">Algae_electricity_factor/U66</f>
        <v>0.0012791356293537</v>
      </c>
      <c r="AR66" s="220" t="n">
        <f aca="false">Algae_electricity_factor/V66</f>
        <v>0.00121824922908309</v>
      </c>
      <c r="AS66" s="220" t="n">
        <f aca="false">Algae_electricity_factor/W66</f>
        <v>0.00117729803515254</v>
      </c>
      <c r="AT66" s="220" t="n">
        <f aca="false">Algae_electricity_factor/X66</f>
        <v>0.00115077728753302</v>
      </c>
      <c r="AU66" s="220" t="n">
        <f aca="false">Algae_electricity_factor/Y66</f>
        <v>0.00113402030376559</v>
      </c>
      <c r="AV66" s="220" t="n">
        <f aca="false">Algae_electricity_factor/Z66</f>
        <v>0.0011235969182821</v>
      </c>
      <c r="AW66" s="220" t="n">
        <f aca="false">Algae_electricity_factor/AA66</f>
        <v>0.0011171762353791</v>
      </c>
      <c r="AX66" s="220" t="n">
        <f aca="false">Algae_electricity_factor/AB66</f>
        <v>0.00111324493130905</v>
      </c>
      <c r="AY66" s="220" t="n">
        <f aca="false">Algae_electricity_factor/AC66</f>
        <v>0.0011108467179535</v>
      </c>
      <c r="AZ66" s="221" t="n">
        <f aca="false">Algae_yield_cost_factor/H66</f>
        <v>0.122580892015428</v>
      </c>
      <c r="BA66" s="197" t="n">
        <f aca="false">Algae_yield_cost_factor/I66</f>
        <v>0.122580892015428</v>
      </c>
      <c r="BB66" s="197" t="n">
        <f aca="false">Algae_yield_cost_factor/J66</f>
        <v>0.122580892015428</v>
      </c>
      <c r="BC66" s="197" t="n">
        <f aca="false">Algae_yield_cost_factor/K66</f>
        <v>0.122580892015428</v>
      </c>
      <c r="BD66" s="197" t="n">
        <f aca="false">Algae_yield_cost_factor/L66</f>
        <v>0.122580892015428</v>
      </c>
      <c r="BE66" s="197" t="n">
        <f aca="false">Algae_yield_cost_factor/M66</f>
        <v>0.117030613005153</v>
      </c>
      <c r="BF66" s="197" t="n">
        <f aca="false">Algae_yield_cost_factor/N66</f>
        <v>0.113937779432051</v>
      </c>
      <c r="BG66" s="197" t="n">
        <f aca="false">Algae_yield_cost_factor/O66</f>
        <v>0.109525171533644</v>
      </c>
      <c r="BH66" s="197" t="n">
        <f aca="false">Algae_yield_cost_factor/P66</f>
        <v>0.103669017242479</v>
      </c>
      <c r="BI66" s="197" t="n">
        <f aca="false">Algae_yield_cost_factor/Q66</f>
        <v>0.0966009068275865</v>
      </c>
      <c r="BJ66" s="197" t="n">
        <f aca="false">Algae_yield_cost_factor/R66</f>
        <v>0.08898531621747</v>
      </c>
      <c r="BK66" s="197" t="n">
        <f aca="false">Algae_yield_cost_factor/S66</f>
        <v>0.081720594676952</v>
      </c>
      <c r="BL66" s="197" t="n">
        <f aca="false">Algae_yield_cost_factor/T66</f>
        <v>0.0755525205828271</v>
      </c>
      <c r="BM66" s="197" t="n">
        <f aca="false">Algae_yield_cost_factor/U66</f>
        <v>0.0708126770108734</v>
      </c>
      <c r="BN66" s="197" t="n">
        <f aca="false">Algae_yield_cost_factor/V66</f>
        <v>0.0674420188118709</v>
      </c>
      <c r="BO66" s="197" t="n">
        <f aca="false">Algae_yield_cost_factor/W66</f>
        <v>0.0651749694056413</v>
      </c>
      <c r="BP66" s="197" t="n">
        <f aca="false">Algae_yield_cost_factor/X66</f>
        <v>0.0637067864450768</v>
      </c>
      <c r="BQ66" s="197" t="n">
        <f aca="false">Algae_yield_cost_factor/Y66</f>
        <v>0.0627791233795118</v>
      </c>
      <c r="BR66" s="197" t="n">
        <f aca="false">Algae_yield_cost_factor/Z66</f>
        <v>0.0622020869709685</v>
      </c>
      <c r="BS66" s="197" t="n">
        <f aca="false">Algae_yield_cost_factor/AA66</f>
        <v>0.0618466393279148</v>
      </c>
      <c r="BT66" s="197" t="n">
        <f aca="false">Algae_yield_cost_factor/AB66</f>
        <v>0.0616290031688122</v>
      </c>
      <c r="BU66" s="197" t="n">
        <f aca="false">Algae_yield_cost_factor/AC66</f>
        <v>0.0614962385863454</v>
      </c>
    </row>
    <row r="67" customFormat="false" ht="15" hidden="false" customHeight="false" outlineLevel="0" collapsed="false">
      <c r="A67" s="18" t="s">
        <v>699</v>
      </c>
      <c r="B67" s="18" t="s">
        <v>22</v>
      </c>
      <c r="C67" s="18" t="s">
        <v>687</v>
      </c>
      <c r="D67" s="18" t="s">
        <v>687</v>
      </c>
      <c r="E67" s="28" t="n">
        <v>6.464296</v>
      </c>
      <c r="F67" s="185" t="n">
        <f aca="false">E67/$B$2*$F$3/1000</f>
        <v>0.0158375252</v>
      </c>
      <c r="G67" s="18" t="n">
        <f aca="false">LOOKUP(RIGHT(D67,5),Ref!$C$4:$C$21,Ref!$E$4:$E$21)*$G$3</f>
        <v>4.5</v>
      </c>
      <c r="H67" s="218" t="n">
        <f aca="false">$E67</f>
        <v>6.464296</v>
      </c>
      <c r="I67" s="177" t="n">
        <f aca="false">$E67</f>
        <v>6.464296</v>
      </c>
      <c r="J67" s="177" t="n">
        <f aca="false">$E67</f>
        <v>6.464296</v>
      </c>
      <c r="K67" s="177" t="n">
        <f aca="false">$E67</f>
        <v>6.464296</v>
      </c>
      <c r="L67" s="177" t="n">
        <f aca="false">$E67</f>
        <v>6.464296</v>
      </c>
      <c r="M67" s="177" t="n">
        <f aca="false">M$3*$E67</f>
        <v>6.77087088227825</v>
      </c>
      <c r="N67" s="177" t="n">
        <f aca="false">N$3*$E67</f>
        <v>6.9546657296786</v>
      </c>
      <c r="O67" s="177" t="n">
        <f aca="false">O$3*$E67</f>
        <v>7.23485897201589</v>
      </c>
      <c r="P67" s="177" t="n">
        <f aca="false">P$3*$E67</f>
        <v>7.64354858383933</v>
      </c>
      <c r="Q67" s="177" t="n">
        <f aca="false">Q$3*$E67</f>
        <v>8.20281295439638</v>
      </c>
      <c r="R67" s="177" t="n">
        <f aca="false">R$3*$E67</f>
        <v>8.90483063514918</v>
      </c>
      <c r="S67" s="177" t="n">
        <f aca="false">S$3*$E67</f>
        <v>9.696444</v>
      </c>
      <c r="T67" s="177" t="n">
        <f aca="false">T$3*$E67</f>
        <v>10.4880573648508</v>
      </c>
      <c r="U67" s="177" t="n">
        <f aca="false">U$3*$E67</f>
        <v>11.1900750456036</v>
      </c>
      <c r="V67" s="177" t="n">
        <f aca="false">V$3*$E67</f>
        <v>11.7493394161607</v>
      </c>
      <c r="W67" s="177" t="n">
        <f aca="false">W$3*$E67</f>
        <v>12.1580290279841</v>
      </c>
      <c r="X67" s="177" t="n">
        <f aca="false">X$3*$E67</f>
        <v>12.4382222703214</v>
      </c>
      <c r="Y67" s="177" t="n">
        <f aca="false">Y$3*$E67</f>
        <v>12.6220171177217</v>
      </c>
      <c r="Z67" s="177" t="n">
        <f aca="false">Z$3*$E67</f>
        <v>12.7391090640029</v>
      </c>
      <c r="AA67" s="177" t="n">
        <f aca="false">AA$3*$E67</f>
        <v>12.8123238148869</v>
      </c>
      <c r="AB67" s="177" t="n">
        <f aca="false">AB$3*$E67</f>
        <v>12.8575691507008</v>
      </c>
      <c r="AC67" s="177" t="n">
        <f aca="false">AC$3*$E67</f>
        <v>12.8853274305415</v>
      </c>
      <c r="AD67" s="219" t="n">
        <f aca="false">Algae_electricity_factor/H67</f>
        <v>0.00212607793695234</v>
      </c>
      <c r="AE67" s="220" t="n">
        <f aca="false">Algae_electricity_factor/I67</f>
        <v>0.00212607793695234</v>
      </c>
      <c r="AF67" s="220" t="n">
        <f aca="false">Algae_electricity_factor/J67</f>
        <v>0.00212607793695234</v>
      </c>
      <c r="AG67" s="220" t="n">
        <f aca="false">Algae_electricity_factor/K67</f>
        <v>0.00212607793695234</v>
      </c>
      <c r="AH67" s="220" t="n">
        <f aca="false">Algae_electricity_factor/L67</f>
        <v>0.00212607793695234</v>
      </c>
      <c r="AI67" s="220" t="n">
        <f aca="false">Algae_electricity_factor/M67</f>
        <v>0.00202981231550303</v>
      </c>
      <c r="AJ67" s="220" t="n">
        <f aca="false">Algae_electricity_factor/N67</f>
        <v>0.00197616932829414</v>
      </c>
      <c r="AK67" s="220" t="n">
        <f aca="false">Algae_electricity_factor/O67</f>
        <v>0.00189963579894078</v>
      </c>
      <c r="AL67" s="220" t="n">
        <f aca="false">Algae_electricity_factor/P67</f>
        <v>0.0017980649894196</v>
      </c>
      <c r="AM67" s="220" t="n">
        <f aca="false">Algae_electricity_factor/Q67</f>
        <v>0.00167547366737934</v>
      </c>
      <c r="AN67" s="220" t="n">
        <f aca="false">Algae_electricity_factor/R67</f>
        <v>0.00154338669275533</v>
      </c>
      <c r="AO67" s="220" t="n">
        <f aca="false">Algae_electricity_factor/S67</f>
        <v>0.00141738529130156</v>
      </c>
      <c r="AP67" s="220" t="n">
        <f aca="false">Algae_electricity_factor/T67</f>
        <v>0.00131040445579454</v>
      </c>
      <c r="AQ67" s="220" t="n">
        <f aca="false">Algae_electricity_factor/U67</f>
        <v>0.00122819525762956</v>
      </c>
      <c r="AR67" s="220" t="n">
        <f aca="false">Algae_electricity_factor/V67</f>
        <v>0.00116973360090573</v>
      </c>
      <c r="AS67" s="220" t="n">
        <f aca="false">Algae_electricity_factor/W67</f>
        <v>0.00113041324970484</v>
      </c>
      <c r="AT67" s="220" t="n">
        <f aca="false">Algae_electricity_factor/X67</f>
        <v>0.00110494866588151</v>
      </c>
      <c r="AU67" s="220" t="n">
        <f aca="false">Algae_electricity_factor/Y67</f>
        <v>0.00108885901321056</v>
      </c>
      <c r="AV67" s="220" t="n">
        <f aca="false">Algae_electricity_factor/Z67</f>
        <v>0.001078850729237</v>
      </c>
      <c r="AW67" s="220" t="n">
        <f aca="false">Algae_electricity_factor/AA67</f>
        <v>0.00107268574398348</v>
      </c>
      <c r="AX67" s="220" t="n">
        <f aca="false">Algae_electricity_factor/AB67</f>
        <v>0.00106891100039545</v>
      </c>
      <c r="AY67" s="220" t="n">
        <f aca="false">Algae_electricity_factor/AC67</f>
        <v>0.0010666082936281</v>
      </c>
      <c r="AZ67" s="221" t="n">
        <f aca="false">Algae_yield_cost_factor/H67</f>
        <v>0.117699223439988</v>
      </c>
      <c r="BA67" s="197" t="n">
        <f aca="false">Algae_yield_cost_factor/I67</f>
        <v>0.117699223439988</v>
      </c>
      <c r="BB67" s="197" t="n">
        <f aca="false">Algae_yield_cost_factor/J67</f>
        <v>0.117699223439988</v>
      </c>
      <c r="BC67" s="197" t="n">
        <f aca="false">Algae_yield_cost_factor/K67</f>
        <v>0.117699223439988</v>
      </c>
      <c r="BD67" s="197" t="n">
        <f aca="false">Algae_yield_cost_factor/L67</f>
        <v>0.117699223439988</v>
      </c>
      <c r="BE67" s="197" t="n">
        <f aca="false">Algae_yield_cost_factor/M67</f>
        <v>0.112369979063936</v>
      </c>
      <c r="BF67" s="197" t="n">
        <f aca="false">Algae_yield_cost_factor/N67</f>
        <v>0.109400314674991</v>
      </c>
      <c r="BG67" s="197" t="n">
        <f aca="false">Algae_yield_cost_factor/O67</f>
        <v>0.105163434730258</v>
      </c>
      <c r="BH67" s="197" t="n">
        <f aca="false">Algae_yield_cost_factor/P67</f>
        <v>0.0995404962682985</v>
      </c>
      <c r="BI67" s="197" t="n">
        <f aca="false">Algae_yield_cost_factor/Q67</f>
        <v>0.0927538666937952</v>
      </c>
      <c r="BJ67" s="197" t="n">
        <f aca="false">Algae_yield_cost_factor/R67</f>
        <v>0.0854415598072149</v>
      </c>
      <c r="BK67" s="197" t="n">
        <f aca="false">Algae_yield_cost_factor/S67</f>
        <v>0.0784661489599917</v>
      </c>
      <c r="BL67" s="197" t="n">
        <f aca="false">Algae_yield_cost_factor/T67</f>
        <v>0.0725437126074529</v>
      </c>
      <c r="BM67" s="197" t="n">
        <f aca="false">Algae_yield_cost_factor/U67</f>
        <v>0.0679926288416751</v>
      </c>
      <c r="BN67" s="197" t="n">
        <f aca="false">Algae_yield_cost_factor/V67</f>
        <v>0.0647562039308963</v>
      </c>
      <c r="BO67" s="197" t="n">
        <f aca="false">Algae_yield_cost_factor/W67</f>
        <v>0.0625794376321185</v>
      </c>
      <c r="BP67" s="197" t="n">
        <f aca="false">Algae_yield_cost_factor/X67</f>
        <v>0.0611697236751951</v>
      </c>
      <c r="BQ67" s="197" t="n">
        <f aca="false">Algae_yield_cost_factor/Y67</f>
        <v>0.0602790039175251</v>
      </c>
      <c r="BR67" s="197" t="n">
        <f aca="false">Algae_yield_cost_factor/Z67</f>
        <v>0.0597249474404879</v>
      </c>
      <c r="BS67" s="197" t="n">
        <f aca="false">Algae_yield_cost_factor/AA67</f>
        <v>0.0593836551650513</v>
      </c>
      <c r="BT67" s="197" t="n">
        <f aca="false">Algae_yield_cost_factor/AB67</f>
        <v>0.059174686161011</v>
      </c>
      <c r="BU67" s="197" t="n">
        <f aca="false">Algae_yield_cost_factor/AC67</f>
        <v>0.0590472088030006</v>
      </c>
    </row>
    <row r="68" customFormat="false" ht="15" hidden="false" customHeight="false" outlineLevel="0" collapsed="false">
      <c r="A68" s="18" t="s">
        <v>699</v>
      </c>
      <c r="B68" s="18" t="s">
        <v>22</v>
      </c>
      <c r="C68" s="18" t="s">
        <v>688</v>
      </c>
      <c r="D68" s="18" t="s">
        <v>688</v>
      </c>
      <c r="E68" s="28" t="n">
        <v>6.62694</v>
      </c>
      <c r="F68" s="185" t="n">
        <f aca="false">E68/$B$2*$F$3/1000</f>
        <v>0.016236003</v>
      </c>
      <c r="G68" s="18" t="n">
        <f aca="false">LOOKUP(RIGHT(D68,5),Ref!$C$4:$C$21,Ref!$E$4:$E$21)*$G$3</f>
        <v>4.5</v>
      </c>
      <c r="H68" s="218" t="n">
        <f aca="false">$E68</f>
        <v>6.62694</v>
      </c>
      <c r="I68" s="177" t="n">
        <f aca="false">$E68</f>
        <v>6.62694</v>
      </c>
      <c r="J68" s="177" t="n">
        <f aca="false">$E68</f>
        <v>6.62694</v>
      </c>
      <c r="K68" s="177" t="n">
        <f aca="false">$E68</f>
        <v>6.62694</v>
      </c>
      <c r="L68" s="177" t="n">
        <f aca="false">$E68</f>
        <v>6.62694</v>
      </c>
      <c r="M68" s="177" t="n">
        <f aca="false">M$3*$E68</f>
        <v>6.94122841599534</v>
      </c>
      <c r="N68" s="177" t="n">
        <f aca="false">N$3*$E68</f>
        <v>7.12964760750998</v>
      </c>
      <c r="O68" s="177" t="n">
        <f aca="false">O$3*$E68</f>
        <v>7.41689061206525</v>
      </c>
      <c r="P68" s="177" t="n">
        <f aca="false">P$3*$E68</f>
        <v>7.8358630007333</v>
      </c>
      <c r="Q68" s="177" t="n">
        <f aca="false">Q$3*$E68</f>
        <v>8.40919866293368</v>
      </c>
      <c r="R68" s="177" t="n">
        <f aca="false">R$3*$E68</f>
        <v>9.12887935968518</v>
      </c>
      <c r="S68" s="177" t="n">
        <f aca="false">S$3*$E68</f>
        <v>9.94041</v>
      </c>
      <c r="T68" s="177" t="n">
        <f aca="false">T$3*$E68</f>
        <v>10.7519406403148</v>
      </c>
      <c r="U68" s="177" t="n">
        <f aca="false">U$3*$E68</f>
        <v>11.4716213370663</v>
      </c>
      <c r="V68" s="177" t="n">
        <f aca="false">V$3*$E68</f>
        <v>12.0449569992667</v>
      </c>
      <c r="W68" s="177" t="n">
        <f aca="false">W$3*$E68</f>
        <v>12.4639293879347</v>
      </c>
      <c r="X68" s="177" t="n">
        <f aca="false">X$3*$E68</f>
        <v>12.75117239249</v>
      </c>
      <c r="Y68" s="177" t="n">
        <f aca="false">Y$3*$E68</f>
        <v>12.9395915840047</v>
      </c>
      <c r="Z68" s="177" t="n">
        <f aca="false">Z$3*$E68</f>
        <v>13.0596296055446</v>
      </c>
      <c r="AA68" s="177" t="n">
        <f aca="false">AA$3*$E68</f>
        <v>13.1346864657538</v>
      </c>
      <c r="AB68" s="177" t="n">
        <f aca="false">AB$3*$E68</f>
        <v>13.1810701904036</v>
      </c>
      <c r="AC68" s="177" t="n">
        <f aca="false">AC$3*$E68</f>
        <v>13.2095268784958</v>
      </c>
      <c r="AD68" s="219" t="n">
        <f aca="false">Algae_electricity_factor/H68</f>
        <v>0.00207389792325406</v>
      </c>
      <c r="AE68" s="220" t="n">
        <f aca="false">Algae_electricity_factor/I68</f>
        <v>0.00207389792325406</v>
      </c>
      <c r="AF68" s="220" t="n">
        <f aca="false">Algae_electricity_factor/J68</f>
        <v>0.00207389792325406</v>
      </c>
      <c r="AG68" s="220" t="n">
        <f aca="false">Algae_electricity_factor/K68</f>
        <v>0.00207389792325406</v>
      </c>
      <c r="AH68" s="220" t="n">
        <f aca="false">Algae_electricity_factor/L68</f>
        <v>0.00207389792325406</v>
      </c>
      <c r="AI68" s="220" t="n">
        <f aca="false">Algae_electricity_factor/M68</f>
        <v>0.00197999493459379</v>
      </c>
      <c r="AJ68" s="220" t="n">
        <f aca="false">Algae_electricity_factor/N68</f>
        <v>0.00192766849921902</v>
      </c>
      <c r="AK68" s="220" t="n">
        <f aca="false">Algae_electricity_factor/O68</f>
        <v>0.00185301332086147</v>
      </c>
      <c r="AL68" s="220" t="n">
        <f aca="false">Algae_electricity_factor/P68</f>
        <v>0.00175393534856889</v>
      </c>
      <c r="AM68" s="220" t="n">
        <f aca="false">Algae_electricity_factor/Q68</f>
        <v>0.00163435276706076</v>
      </c>
      <c r="AN68" s="220" t="n">
        <f aca="false">Algae_electricity_factor/R68</f>
        <v>0.00150550758335394</v>
      </c>
      <c r="AO68" s="220" t="n">
        <f aca="false">Algae_electricity_factor/S68</f>
        <v>0.00138259861550271</v>
      </c>
      <c r="AP68" s="220" t="n">
        <f aca="false">Algae_electricity_factor/T68</f>
        <v>0.00127824339468515</v>
      </c>
      <c r="AQ68" s="220" t="n">
        <f aca="false">Algae_electricity_factor/U68</f>
        <v>0.00119805184460909</v>
      </c>
      <c r="AR68" s="220" t="n">
        <f aca="false">Algae_electricity_factor/V68</f>
        <v>0.00114102500360657</v>
      </c>
      <c r="AS68" s="220" t="n">
        <f aca="false">Algae_electricity_factor/W68</f>
        <v>0.0011026696859205</v>
      </c>
      <c r="AT68" s="220" t="n">
        <f aca="false">Algae_electricity_factor/X68</f>
        <v>0.00107783007557985</v>
      </c>
      <c r="AU68" s="220" t="n">
        <f aca="false">Algae_electricity_factor/Y68</f>
        <v>0.00106213530885461</v>
      </c>
      <c r="AV68" s="220" t="n">
        <f aca="false">Algae_electricity_factor/Z68</f>
        <v>0.00105237265670186</v>
      </c>
      <c r="AW68" s="220" t="n">
        <f aca="false">Algae_electricity_factor/AA68</f>
        <v>0.0010463589777619</v>
      </c>
      <c r="AX68" s="220" t="n">
        <f aca="false">Algae_electricity_factor/AB68</f>
        <v>0.00104267687714274</v>
      </c>
      <c r="AY68" s="220" t="n">
        <f aca="false">Algae_electricity_factor/AC68</f>
        <v>0.00104043068536413</v>
      </c>
      <c r="AZ68" s="221" t="n">
        <f aca="false">Algae_yield_cost_factor/H68</f>
        <v>0.11481054895415</v>
      </c>
      <c r="BA68" s="197" t="n">
        <f aca="false">Algae_yield_cost_factor/I68</f>
        <v>0.11481054895415</v>
      </c>
      <c r="BB68" s="197" t="n">
        <f aca="false">Algae_yield_cost_factor/J68</f>
        <v>0.11481054895415</v>
      </c>
      <c r="BC68" s="197" t="n">
        <f aca="false">Algae_yield_cost_factor/K68</f>
        <v>0.11481054895415</v>
      </c>
      <c r="BD68" s="197" t="n">
        <f aca="false">Algae_yield_cost_factor/L68</f>
        <v>0.11481054895415</v>
      </c>
      <c r="BE68" s="197" t="n">
        <f aca="false">Algae_yield_cost_factor/M68</f>
        <v>0.109612099427953</v>
      </c>
      <c r="BF68" s="197" t="n">
        <f aca="false">Algae_yield_cost_factor/N68</f>
        <v>0.106715319069176</v>
      </c>
      <c r="BG68" s="197" t="n">
        <f aca="false">Algae_yield_cost_factor/O68</f>
        <v>0.102582424236989</v>
      </c>
      <c r="BH68" s="197" t="n">
        <f aca="false">Algae_yield_cost_factor/P68</f>
        <v>0.0970974887150294</v>
      </c>
      <c r="BI68" s="197" t="n">
        <f aca="false">Algae_yield_cost_factor/Q68</f>
        <v>0.0904774223779352</v>
      </c>
      <c r="BJ68" s="197" t="n">
        <f aca="false">Algae_yield_cost_factor/R68</f>
        <v>0.0833445803486285</v>
      </c>
      <c r="BK68" s="197" t="n">
        <f aca="false">Algae_yield_cost_factor/S68</f>
        <v>0.0765403659694336</v>
      </c>
      <c r="BL68" s="197" t="n">
        <f aca="false">Algae_yield_cost_factor/T68</f>
        <v>0.0707632830889532</v>
      </c>
      <c r="BM68" s="197" t="n">
        <f aca="false">Algae_yield_cost_factor/U68</f>
        <v>0.0663238958932365</v>
      </c>
      <c r="BN68" s="197" t="n">
        <f aca="false">Algae_yield_cost_factor/V68</f>
        <v>0.0631669020763244</v>
      </c>
      <c r="BO68" s="197" t="n">
        <f aca="false">Algae_yield_cost_factor/W68</f>
        <v>0.0610435598281489</v>
      </c>
      <c r="BP68" s="197" t="n">
        <f aca="false">Algae_yield_cost_factor/X68</f>
        <v>0.0596684442706089</v>
      </c>
      <c r="BQ68" s="197" t="n">
        <f aca="false">Algae_yield_cost_factor/Y68</f>
        <v>0.0587995853150989</v>
      </c>
      <c r="BR68" s="197" t="n">
        <f aca="false">Algae_yield_cost_factor/Z68</f>
        <v>0.0582591269635391</v>
      </c>
      <c r="BS68" s="197" t="n">
        <f aca="false">Algae_yield_cost_factor/AA68</f>
        <v>0.0579262109735142</v>
      </c>
      <c r="BT68" s="197" t="n">
        <f aca="false">Algae_yield_cost_factor/AB68</f>
        <v>0.057722370664572</v>
      </c>
      <c r="BU68" s="197" t="n">
        <f aca="false">Algae_yield_cost_factor/AC68</f>
        <v>0.0575980219643458</v>
      </c>
    </row>
    <row r="69" customFormat="false" ht="15" hidden="false" customHeight="false" outlineLevel="0" collapsed="false">
      <c r="A69" s="18" t="s">
        <v>700</v>
      </c>
      <c r="B69" s="18" t="s">
        <v>22</v>
      </c>
      <c r="C69" s="18" t="s">
        <v>690</v>
      </c>
      <c r="D69" s="18" t="s">
        <v>690</v>
      </c>
      <c r="E69" s="28" t="n">
        <v>5.4502895</v>
      </c>
      <c r="F69" s="185" t="n">
        <f aca="false">E69/$B$2*$F$3/1000</f>
        <v>0.013353209275</v>
      </c>
      <c r="G69" s="18" t="n">
        <f aca="false">LOOKUP(RIGHT(D69,5),Ref!$C$4:$C$21,Ref!$E$4:$E$21)*$G$3</f>
        <v>1.5</v>
      </c>
      <c r="H69" s="218" t="n">
        <f aca="false">$E69</f>
        <v>5.4502895</v>
      </c>
      <c r="I69" s="177" t="n">
        <f aca="false">$E69</f>
        <v>5.4502895</v>
      </c>
      <c r="J69" s="177" t="n">
        <f aca="false">$E69</f>
        <v>5.4502895</v>
      </c>
      <c r="K69" s="177" t="n">
        <f aca="false">$E69</f>
        <v>5.4502895</v>
      </c>
      <c r="L69" s="177" t="n">
        <f aca="false">$E69</f>
        <v>5.4502895</v>
      </c>
      <c r="M69" s="177" t="n">
        <f aca="false">M$3*$E69</f>
        <v>5.70877423860802</v>
      </c>
      <c r="N69" s="177" t="n">
        <f aca="false">N$3*$E69</f>
        <v>5.86373854205889</v>
      </c>
      <c r="O69" s="177" t="n">
        <f aca="false">O$3*$E69</f>
        <v>6.09997993426647</v>
      </c>
      <c r="P69" s="177" t="n">
        <f aca="false">P$3*$E69</f>
        <v>6.44456141693378</v>
      </c>
      <c r="Q69" s="177" t="n">
        <f aca="false">Q$3*$E69</f>
        <v>6.91609810500796</v>
      </c>
      <c r="R69" s="177" t="n">
        <f aca="false">R$3*$E69</f>
        <v>7.50799544297351</v>
      </c>
      <c r="S69" s="177" t="n">
        <f aca="false">S$3*$E69</f>
        <v>8.17543425</v>
      </c>
      <c r="T69" s="177" t="n">
        <f aca="false">T$3*$E69</f>
        <v>8.84287305702649</v>
      </c>
      <c r="U69" s="177" t="n">
        <f aca="false">U$3*$E69</f>
        <v>9.43477039499204</v>
      </c>
      <c r="V69" s="177" t="n">
        <f aca="false">V$3*$E69</f>
        <v>9.90630708306622</v>
      </c>
      <c r="W69" s="177" t="n">
        <f aca="false">W$3*$E69</f>
        <v>10.2508885657335</v>
      </c>
      <c r="X69" s="177" t="n">
        <f aca="false">X$3*$E69</f>
        <v>10.4871299579411</v>
      </c>
      <c r="Y69" s="177" t="n">
        <f aca="false">Y$3*$E69</f>
        <v>10.642094261392</v>
      </c>
      <c r="Z69" s="177" t="n">
        <f aca="false">Z$3*$E69</f>
        <v>10.7408188565143</v>
      </c>
      <c r="AA69" s="177" t="n">
        <f aca="false">AA$3*$E69</f>
        <v>10.8025489486988</v>
      </c>
      <c r="AB69" s="177" t="n">
        <f aca="false">AB$3*$E69</f>
        <v>10.8406969819434</v>
      </c>
      <c r="AC69" s="177" t="n">
        <f aca="false">AC$3*$E69</f>
        <v>10.8641010248823</v>
      </c>
      <c r="AD69" s="219" t="n">
        <f aca="false">Algae_electricity_factor/H69</f>
        <v>0.00252162698945244</v>
      </c>
      <c r="AE69" s="220" t="n">
        <f aca="false">Algae_electricity_factor/I69</f>
        <v>0.00252162698945244</v>
      </c>
      <c r="AF69" s="220" t="n">
        <f aca="false">Algae_electricity_factor/J69</f>
        <v>0.00252162698945244</v>
      </c>
      <c r="AG69" s="220" t="n">
        <f aca="false">Algae_electricity_factor/K69</f>
        <v>0.00252162698945244</v>
      </c>
      <c r="AH69" s="220" t="n">
        <f aca="false">Algae_electricity_factor/L69</f>
        <v>0.00252162698945244</v>
      </c>
      <c r="AI69" s="220" t="n">
        <f aca="false">Algae_electricity_factor/M69</f>
        <v>0.00240745149993536</v>
      </c>
      <c r="AJ69" s="220" t="n">
        <f aca="false">Algae_electricity_factor/N69</f>
        <v>0.00234382843043741</v>
      </c>
      <c r="AK69" s="220" t="n">
        <f aca="false">Algae_electricity_factor/O69</f>
        <v>0.00225305611684474</v>
      </c>
      <c r="AL69" s="220" t="n">
        <f aca="false">Algae_electricity_factor/P69</f>
        <v>0.00213258842834773</v>
      </c>
      <c r="AM69" s="220" t="n">
        <f aca="false">Algae_electricity_factor/Q69</f>
        <v>0.00198718943757861</v>
      </c>
      <c r="AN69" s="220" t="n">
        <f aca="false">Algae_electricity_factor/R69</f>
        <v>0.00183052816266577</v>
      </c>
      <c r="AO69" s="220" t="n">
        <f aca="false">Algae_electricity_factor/S69</f>
        <v>0.00168108465963496</v>
      </c>
      <c r="AP69" s="220" t="n">
        <f aca="false">Algae_electricity_factor/T69</f>
        <v>0.0015542004295322</v>
      </c>
      <c r="AQ69" s="220" t="n">
        <f aca="false">Algae_electricity_factor/U69</f>
        <v>0.00145669650962829</v>
      </c>
      <c r="AR69" s="220" t="n">
        <f aca="false">Algae_electricity_factor/V69</f>
        <v>0.00138735827471192</v>
      </c>
      <c r="AS69" s="220" t="n">
        <f aca="false">Algae_electricity_factor/W69</f>
        <v>0.00134072251545794</v>
      </c>
      <c r="AT69" s="220" t="n">
        <f aca="false">Algae_electricity_factor/X69</f>
        <v>0.00131052033861012</v>
      </c>
      <c r="AU69" s="220" t="n">
        <f aca="false">Algae_electricity_factor/Y69</f>
        <v>0.00129143726469226</v>
      </c>
      <c r="AV69" s="220" t="n">
        <f aca="false">Algae_electricity_factor/Z69</f>
        <v>0.00127956697595675</v>
      </c>
      <c r="AW69" s="220" t="n">
        <f aca="false">Algae_electricity_factor/AA69</f>
        <v>0.00127225501766272</v>
      </c>
      <c r="AX69" s="220" t="n">
        <f aca="false">Algae_electricity_factor/AB69</f>
        <v>0.00126777799678573</v>
      </c>
      <c r="AY69" s="220" t="n">
        <f aca="false">Algae_electricity_factor/AC69</f>
        <v>0.00126504687981564</v>
      </c>
      <c r="AZ69" s="221" t="n">
        <f aca="false">Algae_yield_cost_factor/H69</f>
        <v>0.139596735051637</v>
      </c>
      <c r="BA69" s="197" t="n">
        <f aca="false">Algae_yield_cost_factor/I69</f>
        <v>0.139596735051637</v>
      </c>
      <c r="BB69" s="197" t="n">
        <f aca="false">Algae_yield_cost_factor/J69</f>
        <v>0.139596735051637</v>
      </c>
      <c r="BC69" s="197" t="n">
        <f aca="false">Algae_yield_cost_factor/K69</f>
        <v>0.139596735051637</v>
      </c>
      <c r="BD69" s="197" t="n">
        <f aca="false">Algae_yield_cost_factor/L69</f>
        <v>0.139596735051637</v>
      </c>
      <c r="BE69" s="197" t="n">
        <f aca="false">Algae_yield_cost_factor/M69</f>
        <v>0.133276004179793</v>
      </c>
      <c r="BF69" s="197" t="n">
        <f aca="false">Algae_yield_cost_factor/N69</f>
        <v>0.129753844553081</v>
      </c>
      <c r="BG69" s="197" t="n">
        <f aca="false">Algae_yield_cost_factor/O69</f>
        <v>0.124728708534303</v>
      </c>
      <c r="BH69" s="197" t="n">
        <f aca="false">Algae_yield_cost_factor/P69</f>
        <v>0.118059642862123</v>
      </c>
      <c r="BI69" s="197" t="n">
        <f aca="false">Algae_yield_cost_factor/Q69</f>
        <v>0.110010385586533</v>
      </c>
      <c r="BJ69" s="197" t="n">
        <f aca="false">Algae_yield_cost_factor/R69</f>
        <v>0.101337650650583</v>
      </c>
      <c r="BK69" s="197" t="n">
        <f aca="false">Algae_yield_cost_factor/S69</f>
        <v>0.0930644900344245</v>
      </c>
      <c r="BL69" s="197" t="n">
        <f aca="false">Algae_yield_cost_factor/T69</f>
        <v>0.0860402059805277</v>
      </c>
      <c r="BM69" s="197" t="n">
        <f aca="false">Algae_yield_cost_factor/U69</f>
        <v>0.0806424096647939</v>
      </c>
      <c r="BN69" s="197" t="n">
        <f aca="false">Algae_yield_cost_factor/V69</f>
        <v>0.0768038596932653</v>
      </c>
      <c r="BO69" s="197" t="n">
        <f aca="false">Algae_yield_cost_factor/W69</f>
        <v>0.0742221139569839</v>
      </c>
      <c r="BP69" s="197" t="n">
        <f aca="false">Algae_yield_cost_factor/X69</f>
        <v>0.072550127855533</v>
      </c>
      <c r="BQ69" s="197" t="n">
        <f aca="false">Algae_yield_cost_factor/Y69</f>
        <v>0.0714936929328326</v>
      </c>
      <c r="BR69" s="197" t="n">
        <f aca="false">Algae_yield_cost_factor/Z69</f>
        <v>0.0708365562672875</v>
      </c>
      <c r="BS69" s="197" t="n">
        <f aca="false">Algae_yield_cost_factor/AA69</f>
        <v>0.0704317678077138</v>
      </c>
      <c r="BT69" s="197" t="n">
        <f aca="false">Algae_yield_cost_factor/AB69</f>
        <v>0.0701839208819786</v>
      </c>
      <c r="BU69" s="197" t="n">
        <f aca="false">Algae_yield_cost_factor/AC69</f>
        <v>0.0700327268260523</v>
      </c>
    </row>
    <row r="70" customFormat="false" ht="15" hidden="false" customHeight="false" outlineLevel="0" collapsed="false">
      <c r="A70" s="18" t="s">
        <v>700</v>
      </c>
      <c r="B70" s="18" t="s">
        <v>22</v>
      </c>
      <c r="C70" s="18" t="s">
        <v>691</v>
      </c>
      <c r="D70" s="18" t="s">
        <v>691</v>
      </c>
      <c r="E70" s="28" t="n">
        <v>6.00352</v>
      </c>
      <c r="F70" s="185" t="n">
        <f aca="false">E70/$B$2*$F$3/1000</f>
        <v>0.014708624</v>
      </c>
      <c r="G70" s="18" t="n">
        <f aca="false">LOOKUP(RIGHT(D70,5),Ref!$C$4:$C$21,Ref!$E$4:$E$21)*$G$3</f>
        <v>2</v>
      </c>
      <c r="H70" s="218" t="n">
        <f aca="false">$E70</f>
        <v>6.00352</v>
      </c>
      <c r="I70" s="177" t="n">
        <f aca="false">$E70</f>
        <v>6.00352</v>
      </c>
      <c r="J70" s="177" t="n">
        <f aca="false">$E70</f>
        <v>6.00352</v>
      </c>
      <c r="K70" s="177" t="n">
        <f aca="false">$E70</f>
        <v>6.00352</v>
      </c>
      <c r="L70" s="177" t="n">
        <f aca="false">$E70</f>
        <v>6.00352</v>
      </c>
      <c r="M70" s="177" t="n">
        <f aca="false">M$3*$E70</f>
        <v>6.28824217813899</v>
      </c>
      <c r="N70" s="177" t="n">
        <f aca="false">N$3*$E70</f>
        <v>6.45893610092114</v>
      </c>
      <c r="O70" s="177" t="n">
        <f aca="false">O$3*$E70</f>
        <v>6.71915712641822</v>
      </c>
      <c r="P70" s="177" t="n">
        <f aca="false">P$3*$E70</f>
        <v>7.09871528068194</v>
      </c>
      <c r="Q70" s="177" t="n">
        <f aca="false">Q$3*$E70</f>
        <v>7.61811520202319</v>
      </c>
      <c r="R70" s="177" t="n">
        <f aca="false">R$3*$E70</f>
        <v>8.27009295594304</v>
      </c>
      <c r="S70" s="177" t="n">
        <f aca="false">S$3*$E70</f>
        <v>9.00528</v>
      </c>
      <c r="T70" s="177" t="n">
        <f aca="false">T$3*$E70</f>
        <v>9.74046704405696</v>
      </c>
      <c r="U70" s="177" t="n">
        <f aca="false">U$3*$E70</f>
        <v>10.3924447979768</v>
      </c>
      <c r="V70" s="177" t="n">
        <f aca="false">V$3*$E70</f>
        <v>10.9118447193181</v>
      </c>
      <c r="W70" s="177" t="n">
        <f aca="false">W$3*$E70</f>
        <v>11.2914028735818</v>
      </c>
      <c r="X70" s="177" t="n">
        <f aca="false">X$3*$E70</f>
        <v>11.5516238990789</v>
      </c>
      <c r="Y70" s="177" t="n">
        <f aca="false">Y$3*$E70</f>
        <v>11.722317821861</v>
      </c>
      <c r="Z70" s="177" t="n">
        <f aca="false">Z$3*$E70</f>
        <v>11.8310634364396</v>
      </c>
      <c r="AA70" s="177" t="n">
        <f aca="false">AA$3*$E70</f>
        <v>11.8990594287684</v>
      </c>
      <c r="AB70" s="177" t="n">
        <f aca="false">AB$3*$E70</f>
        <v>11.9410796701784</v>
      </c>
      <c r="AC70" s="177" t="n">
        <f aca="false">AC$3*$E70</f>
        <v>11.966859335619</v>
      </c>
      <c r="AD70" s="219" t="n">
        <f aca="false">Algae_electricity_factor/H70</f>
        <v>0.00228925648678263</v>
      </c>
      <c r="AE70" s="220" t="n">
        <f aca="false">Algae_electricity_factor/I70</f>
        <v>0.00228925648678263</v>
      </c>
      <c r="AF70" s="220" t="n">
        <f aca="false">Algae_electricity_factor/J70</f>
        <v>0.00228925648678263</v>
      </c>
      <c r="AG70" s="220" t="n">
        <f aca="false">Algae_electricity_factor/K70</f>
        <v>0.00228925648678263</v>
      </c>
      <c r="AH70" s="220" t="n">
        <f aca="false">Algae_electricity_factor/L70</f>
        <v>0.00228925648678263</v>
      </c>
      <c r="AI70" s="220" t="n">
        <f aca="false">Algae_electricity_factor/M70</f>
        <v>0.00218560238524349</v>
      </c>
      <c r="AJ70" s="220" t="n">
        <f aca="false">Algae_electricity_factor/N70</f>
        <v>0.00212784224658442</v>
      </c>
      <c r="AK70" s="220" t="n">
        <f aca="false">Algae_electricity_factor/O70</f>
        <v>0.00204543469440423</v>
      </c>
      <c r="AL70" s="220" t="n">
        <f aca="false">Algae_electricity_factor/P70</f>
        <v>0.00193606822644801</v>
      </c>
      <c r="AM70" s="220" t="n">
        <f aca="false">Algae_electricity_factor/Q70</f>
        <v>0.0018040679011889</v>
      </c>
      <c r="AN70" s="220" t="n">
        <f aca="false">Algae_electricity_factor/R70</f>
        <v>0.00166184312277323</v>
      </c>
      <c r="AO70" s="220" t="n">
        <f aca="false">Algae_electricity_factor/S70</f>
        <v>0.00152617099118842</v>
      </c>
      <c r="AP70" s="220" t="n">
        <f aca="false">Algae_electricity_factor/T70</f>
        <v>0.00141097927248928</v>
      </c>
      <c r="AQ70" s="220" t="n">
        <f aca="false">Algae_electricity_factor/U70</f>
        <v>0.0013224604383951</v>
      </c>
      <c r="AR70" s="220" t="n">
        <f aca="false">Algae_electricity_factor/V70</f>
        <v>0.0012595117926484</v>
      </c>
      <c r="AS70" s="220" t="n">
        <f aca="false">Algae_electricity_factor/W70</f>
        <v>0.00121717356624347</v>
      </c>
      <c r="AT70" s="220" t="n">
        <f aca="false">Algae_electricity_factor/X70</f>
        <v>0.0011897545508407</v>
      </c>
      <c r="AU70" s="220" t="n">
        <f aca="false">Algae_electricity_factor/Y70</f>
        <v>0.00117243000167584</v>
      </c>
      <c r="AV70" s="220" t="n">
        <f aca="false">Algae_electricity_factor/Z70</f>
        <v>0.00116165357217163</v>
      </c>
      <c r="AW70" s="220" t="n">
        <f aca="false">Algae_electricity_factor/AA70</f>
        <v>0.00115501541830284</v>
      </c>
      <c r="AX70" s="220" t="n">
        <f aca="false">Algae_electricity_factor/AB70</f>
        <v>0.00115095095947249</v>
      </c>
      <c r="AY70" s="220" t="n">
        <f aca="false">Algae_electricity_factor/AC70</f>
        <v>0.00114847151772076</v>
      </c>
      <c r="AZ70" s="221" t="n">
        <f aca="false">Algae_yield_cost_factor/H70</f>
        <v>0.126732753332415</v>
      </c>
      <c r="BA70" s="197" t="n">
        <f aca="false">Algae_yield_cost_factor/I70</f>
        <v>0.126732753332415</v>
      </c>
      <c r="BB70" s="197" t="n">
        <f aca="false">Algae_yield_cost_factor/J70</f>
        <v>0.126732753332415</v>
      </c>
      <c r="BC70" s="197" t="n">
        <f aca="false">Algae_yield_cost_factor/K70</f>
        <v>0.126732753332415</v>
      </c>
      <c r="BD70" s="197" t="n">
        <f aca="false">Algae_yield_cost_factor/L70</f>
        <v>0.126732753332415</v>
      </c>
      <c r="BE70" s="197" t="n">
        <f aca="false">Algae_yield_cost_factor/M70</f>
        <v>0.120994484266411</v>
      </c>
      <c r="BF70" s="197" t="n">
        <f aca="false">Algae_yield_cost_factor/N70</f>
        <v>0.117796895246837</v>
      </c>
      <c r="BG70" s="197" t="n">
        <f aca="false">Algae_yield_cost_factor/O70</f>
        <v>0.113234830644867</v>
      </c>
      <c r="BH70" s="197" t="n">
        <f aca="false">Algae_yield_cost_factor/P70</f>
        <v>0.107180326186167</v>
      </c>
      <c r="BI70" s="197" t="n">
        <f aca="false">Algae_yield_cost_factor/Q70</f>
        <v>0.0998728161900408</v>
      </c>
      <c r="BJ70" s="197" t="n">
        <f aca="false">Algae_yield_cost_factor/R70</f>
        <v>0.0919992826367764</v>
      </c>
      <c r="BK70" s="197" t="n">
        <f aca="false">Algae_yield_cost_factor/S70</f>
        <v>0.0844885022216097</v>
      </c>
      <c r="BL70" s="197" t="n">
        <f aca="false">Algae_yield_cost_factor/T70</f>
        <v>0.0781115131178887</v>
      </c>
      <c r="BM70" s="197" t="n">
        <f aca="false">Algae_yield_cost_factor/U70</f>
        <v>0.0732111292459632</v>
      </c>
      <c r="BN70" s="197" t="n">
        <f aca="false">Algae_yield_cost_factor/V70</f>
        <v>0.0697263055750088</v>
      </c>
      <c r="BO70" s="197" t="n">
        <f aca="false">Algae_yield_cost_factor/W70</f>
        <v>0.0673824703453229</v>
      </c>
      <c r="BP70" s="197" t="n">
        <f aca="false">Algae_yield_cost_factor/X70</f>
        <v>0.0658645594708886</v>
      </c>
      <c r="BQ70" s="197" t="n">
        <f aca="false">Algae_yield_cost_factor/Y70</f>
        <v>0.0649054761053585</v>
      </c>
      <c r="BR70" s="197" t="n">
        <f aca="false">Algae_yield_cost_factor/Z70</f>
        <v>0.0643088952547432</v>
      </c>
      <c r="BS70" s="197" t="n">
        <f aca="false">Algae_yield_cost_factor/AA70</f>
        <v>0.0639414084651705</v>
      </c>
      <c r="BT70" s="197" t="n">
        <f aca="false">Algae_yield_cost_factor/AB70</f>
        <v>0.0637164008867928</v>
      </c>
      <c r="BU70" s="197" t="n">
        <f aca="false">Algae_yield_cost_factor/AC70</f>
        <v>0.0635791395175499</v>
      </c>
    </row>
    <row r="71" customFormat="false" ht="15" hidden="false" customHeight="false" outlineLevel="0" collapsed="false">
      <c r="A71" s="18" t="s">
        <v>700</v>
      </c>
      <c r="B71" s="18" t="s">
        <v>22</v>
      </c>
      <c r="C71" s="18" t="s">
        <v>692</v>
      </c>
      <c r="D71" s="18" t="s">
        <v>692</v>
      </c>
      <c r="E71" s="28" t="n">
        <v>6.18748</v>
      </c>
      <c r="F71" s="185" t="n">
        <f aca="false">E71/$B$2*$F$3/1000</f>
        <v>0.015159326</v>
      </c>
      <c r="G71" s="18" t="n">
        <f aca="false">LOOKUP(RIGHT(D71,5),Ref!$C$4:$C$21,Ref!$E$4:$E$21)*$G$3</f>
        <v>2.5</v>
      </c>
      <c r="H71" s="218" t="n">
        <f aca="false">$E71</f>
        <v>6.18748</v>
      </c>
      <c r="I71" s="177" t="n">
        <f aca="false">$E71</f>
        <v>6.18748</v>
      </c>
      <c r="J71" s="177" t="n">
        <f aca="false">$E71</f>
        <v>6.18748</v>
      </c>
      <c r="K71" s="177" t="n">
        <f aca="false">$E71</f>
        <v>6.18748</v>
      </c>
      <c r="L71" s="177" t="n">
        <f aca="false">$E71</f>
        <v>6.18748</v>
      </c>
      <c r="M71" s="177" t="n">
        <f aca="false">M$3*$E71</f>
        <v>6.48092664176873</v>
      </c>
      <c r="N71" s="177" t="n">
        <f aca="false">N$3*$E71</f>
        <v>6.65685097171784</v>
      </c>
      <c r="O71" s="177" t="n">
        <f aca="false">O$3*$E71</f>
        <v>6.92504569595341</v>
      </c>
      <c r="P71" s="177" t="n">
        <f aca="false">P$3*$E71</f>
        <v>7.31623428004135</v>
      </c>
      <c r="Q71" s="177" t="n">
        <f aca="false">Q$3*$E71</f>
        <v>7.85154966589842</v>
      </c>
      <c r="R71" s="177" t="n">
        <f aca="false">R$3*$E71</f>
        <v>8.52350533737515</v>
      </c>
      <c r="S71" s="177" t="n">
        <f aca="false">S$3*$E71</f>
        <v>9.28122</v>
      </c>
      <c r="T71" s="177" t="n">
        <f aca="false">T$3*$E71</f>
        <v>10.0389346626249</v>
      </c>
      <c r="U71" s="177" t="n">
        <f aca="false">U$3*$E71</f>
        <v>10.7108903341016</v>
      </c>
      <c r="V71" s="177" t="n">
        <f aca="false">V$3*$E71</f>
        <v>11.2462057199586</v>
      </c>
      <c r="W71" s="177" t="n">
        <f aca="false">W$3*$E71</f>
        <v>11.6373943040466</v>
      </c>
      <c r="X71" s="177" t="n">
        <f aca="false">X$3*$E71</f>
        <v>11.9055890282822</v>
      </c>
      <c r="Y71" s="177" t="n">
        <f aca="false">Y$3*$E71</f>
        <v>12.0815133582313</v>
      </c>
      <c r="Z71" s="177" t="n">
        <f aca="false">Z$3*$E71</f>
        <v>12.1935911584706</v>
      </c>
      <c r="AA71" s="177" t="n">
        <f aca="false">AA$3*$E71</f>
        <v>12.2636706855838</v>
      </c>
      <c r="AB71" s="177" t="n">
        <f aca="false">AB$3*$E71</f>
        <v>12.3069785122121</v>
      </c>
      <c r="AC71" s="177" t="n">
        <f aca="false">AC$3*$E71</f>
        <v>12.333548118763</v>
      </c>
      <c r="AD71" s="219" t="n">
        <f aca="false">Algae_electricity_factor/H71</f>
        <v>0.00222119459029027</v>
      </c>
      <c r="AE71" s="220" t="n">
        <f aca="false">Algae_electricity_factor/I71</f>
        <v>0.00222119459029027</v>
      </c>
      <c r="AF71" s="220" t="n">
        <f aca="false">Algae_electricity_factor/J71</f>
        <v>0.00222119459029027</v>
      </c>
      <c r="AG71" s="220" t="n">
        <f aca="false">Algae_electricity_factor/K71</f>
        <v>0.00222119459029027</v>
      </c>
      <c r="AH71" s="220" t="n">
        <f aca="false">Algae_electricity_factor/L71</f>
        <v>0.00222119459029027</v>
      </c>
      <c r="AI71" s="220" t="n">
        <f aca="false">Algae_electricity_factor/M71</f>
        <v>0.00212062222938207</v>
      </c>
      <c r="AJ71" s="220" t="n">
        <f aca="false">Algae_electricity_factor/N71</f>
        <v>0.00206457935770532</v>
      </c>
      <c r="AK71" s="220" t="n">
        <f aca="false">Algae_electricity_factor/O71</f>
        <v>0.00198462186488678</v>
      </c>
      <c r="AL71" s="220" t="n">
        <f aca="false">Algae_electricity_factor/P71</f>
        <v>0.00187850697195711</v>
      </c>
      <c r="AM71" s="220" t="n">
        <f aca="false">Algae_electricity_factor/Q71</f>
        <v>0.00175043114905351</v>
      </c>
      <c r="AN71" s="220" t="n">
        <f aca="false">Algae_electricity_factor/R71</f>
        <v>0.00161243485626322</v>
      </c>
      <c r="AO71" s="220" t="n">
        <f aca="false">Algae_electricity_factor/S71</f>
        <v>0.00148079639352685</v>
      </c>
      <c r="AP71" s="220" t="n">
        <f aca="false">Algae_electricity_factor/T71</f>
        <v>0.00136902944041432</v>
      </c>
      <c r="AQ71" s="220" t="n">
        <f aca="false">Algae_electricity_factor/U71</f>
        <v>0.00128314236023611</v>
      </c>
      <c r="AR71" s="220" t="n">
        <f aca="false">Algae_electricity_factor/V71</f>
        <v>0.00122206524100288</v>
      </c>
      <c r="AS71" s="220" t="n">
        <f aca="false">Algae_electricity_factor/W71</f>
        <v>0.00118098577262698</v>
      </c>
      <c r="AT71" s="220" t="n">
        <f aca="false">Algae_electricity_factor/X71</f>
        <v>0.00115438195211349</v>
      </c>
      <c r="AU71" s="220" t="n">
        <f aca="false">Algae_electricity_factor/Y71</f>
        <v>0.00113757247920978</v>
      </c>
      <c r="AV71" s="220" t="n">
        <f aca="false">Algae_electricity_factor/Z71</f>
        <v>0.0011271164437871</v>
      </c>
      <c r="AW71" s="220" t="n">
        <f aca="false">Algae_electricity_factor/AA71</f>
        <v>0.00112067564890544</v>
      </c>
      <c r="AX71" s="220" t="n">
        <f aca="false">Algae_electricity_factor/AB71</f>
        <v>0.00111673203052168</v>
      </c>
      <c r="AY71" s="220" t="n">
        <f aca="false">Algae_electricity_factor/AC71</f>
        <v>0.00111432630506554</v>
      </c>
      <c r="AZ71" s="221" t="n">
        <f aca="false">Algae_yield_cost_factor/H71</f>
        <v>0.122964861185203</v>
      </c>
      <c r="BA71" s="197" t="n">
        <f aca="false">Algae_yield_cost_factor/I71</f>
        <v>0.122964861185203</v>
      </c>
      <c r="BB71" s="197" t="n">
        <f aca="false">Algae_yield_cost_factor/J71</f>
        <v>0.122964861185203</v>
      </c>
      <c r="BC71" s="197" t="n">
        <f aca="false">Algae_yield_cost_factor/K71</f>
        <v>0.122964861185203</v>
      </c>
      <c r="BD71" s="197" t="n">
        <f aca="false">Algae_yield_cost_factor/L71</f>
        <v>0.122964861185203</v>
      </c>
      <c r="BE71" s="197" t="n">
        <f aca="false">Algae_yield_cost_factor/M71</f>
        <v>0.117397196626588</v>
      </c>
      <c r="BF71" s="197" t="n">
        <f aca="false">Algae_yield_cost_factor/N71</f>
        <v>0.114294675142754</v>
      </c>
      <c r="BG71" s="197" t="n">
        <f aca="false">Algae_yield_cost_factor/O71</f>
        <v>0.109868245307148</v>
      </c>
      <c r="BH71" s="197" t="n">
        <f aca="false">Algae_yield_cost_factor/P71</f>
        <v>0.103993747351939</v>
      </c>
      <c r="BI71" s="197" t="n">
        <f aca="false">Algae_yield_cost_factor/Q71</f>
        <v>0.0969034969734421</v>
      </c>
      <c r="BJ71" s="197" t="n">
        <f aca="false">Algae_yield_cost_factor/R71</f>
        <v>0.0892640514871224</v>
      </c>
      <c r="BK71" s="197" t="n">
        <f aca="false">Algae_yield_cost_factor/S71</f>
        <v>0.0819765741234685</v>
      </c>
      <c r="BL71" s="197" t="n">
        <f aca="false">Algae_yield_cost_factor/T71</f>
        <v>0.0757891793158939</v>
      </c>
      <c r="BM71" s="197" t="n">
        <f aca="false">Algae_yield_cost_factor/U71</f>
        <v>0.0710344887823031</v>
      </c>
      <c r="BN71" s="197" t="n">
        <f aca="false">Algae_yield_cost_factor/V71</f>
        <v>0.0676532724220001</v>
      </c>
      <c r="BO71" s="197" t="n">
        <f aca="false">Algae_yield_cost_factor/W71</f>
        <v>0.0653791217696951</v>
      </c>
      <c r="BP71" s="197" t="n">
        <f aca="false">Algae_yield_cost_factor/X71</f>
        <v>0.0639063399113483</v>
      </c>
      <c r="BQ71" s="197" t="n">
        <f aca="false">Algae_yield_cost_factor/Y71</f>
        <v>0.0629757710583374</v>
      </c>
      <c r="BR71" s="197" t="n">
        <f aca="false">Algae_yield_cost_factor/Z71</f>
        <v>0.0623969271560888</v>
      </c>
      <c r="BS71" s="197" t="n">
        <f aca="false">Algae_yield_cost_factor/AA71</f>
        <v>0.0620403661181645</v>
      </c>
      <c r="BT71" s="197" t="n">
        <f aca="false">Algae_yield_cost_factor/AB71</f>
        <v>0.0618220482412676</v>
      </c>
      <c r="BU71" s="197" t="n">
        <f aca="false">Algae_yield_cost_factor/AC71</f>
        <v>0.0616888677905062</v>
      </c>
    </row>
    <row r="72" customFormat="false" ht="15" hidden="false" customHeight="false" outlineLevel="0" collapsed="false">
      <c r="A72" s="18" t="s">
        <v>700</v>
      </c>
      <c r="B72" s="18" t="s">
        <v>22</v>
      </c>
      <c r="C72" s="18" t="s">
        <v>693</v>
      </c>
      <c r="D72" s="18" t="s">
        <v>693</v>
      </c>
      <c r="E72" s="28" t="n">
        <v>6.21522</v>
      </c>
      <c r="F72" s="185" t="n">
        <f aca="false">E72/$B$2*$F$3/1000</f>
        <v>0.015227289</v>
      </c>
      <c r="G72" s="18" t="n">
        <f aca="false">LOOKUP(RIGHT(D72,5),Ref!$C$4:$C$21,Ref!$E$4:$E$21)*$G$3</f>
        <v>3</v>
      </c>
      <c r="H72" s="218" t="n">
        <f aca="false">$E72</f>
        <v>6.21522</v>
      </c>
      <c r="I72" s="177" t="n">
        <f aca="false">$E72</f>
        <v>6.21522</v>
      </c>
      <c r="J72" s="177" t="n">
        <f aca="false">$E72</f>
        <v>6.21522</v>
      </c>
      <c r="K72" s="177" t="n">
        <f aca="false">$E72</f>
        <v>6.21522</v>
      </c>
      <c r="L72" s="177" t="n">
        <f aca="false">$E72</f>
        <v>6.21522</v>
      </c>
      <c r="M72" s="177" t="n">
        <f aca="false">M$3*$E72</f>
        <v>6.50998223549068</v>
      </c>
      <c r="N72" s="177" t="n">
        <f aca="false">N$3*$E72</f>
        <v>6.68669527763163</v>
      </c>
      <c r="O72" s="177" t="n">
        <f aca="false">O$3*$E72</f>
        <v>6.95609238501031</v>
      </c>
      <c r="P72" s="177" t="n">
        <f aca="false">P$3*$E72</f>
        <v>7.34903476407174</v>
      </c>
      <c r="Q72" s="177" t="n">
        <f aca="false">Q$3*$E72</f>
        <v>7.88675010092722</v>
      </c>
      <c r="R72" s="177" t="n">
        <f aca="false">R$3*$E72</f>
        <v>8.56171831552761</v>
      </c>
      <c r="S72" s="177" t="n">
        <f aca="false">S$3*$E72</f>
        <v>9.32283</v>
      </c>
      <c r="T72" s="177" t="n">
        <f aca="false">T$3*$E72</f>
        <v>10.0839416844724</v>
      </c>
      <c r="U72" s="177" t="n">
        <f aca="false">U$3*$E72</f>
        <v>10.7589098990728</v>
      </c>
      <c r="V72" s="177" t="n">
        <f aca="false">V$3*$E72</f>
        <v>11.2966252359283</v>
      </c>
      <c r="W72" s="177" t="n">
        <f aca="false">W$3*$E72</f>
        <v>11.6895676149897</v>
      </c>
      <c r="X72" s="177" t="n">
        <f aca="false">X$3*$E72</f>
        <v>11.9589647223684</v>
      </c>
      <c r="Y72" s="177" t="n">
        <f aca="false">Y$3*$E72</f>
        <v>12.1356777645093</v>
      </c>
      <c r="Z72" s="177" t="n">
        <f aca="false">Z$3*$E72</f>
        <v>12.2482580371896</v>
      </c>
      <c r="AA72" s="177" t="n">
        <f aca="false">AA$3*$E72</f>
        <v>12.3186517481194</v>
      </c>
      <c r="AB72" s="177" t="n">
        <f aca="false">AB$3*$E72</f>
        <v>12.3621537344235</v>
      </c>
      <c r="AC72" s="177" t="n">
        <f aca="false">AC$3*$E72</f>
        <v>12.3888424590784</v>
      </c>
      <c r="AD72" s="219" t="n">
        <f aca="false">Algae_electricity_factor/H72</f>
        <v>0.00221128087236321</v>
      </c>
      <c r="AE72" s="220" t="n">
        <f aca="false">Algae_electricity_factor/I72</f>
        <v>0.00221128087236321</v>
      </c>
      <c r="AF72" s="220" t="n">
        <f aca="false">Algae_electricity_factor/J72</f>
        <v>0.00221128087236321</v>
      </c>
      <c r="AG72" s="220" t="n">
        <f aca="false">Algae_electricity_factor/K72</f>
        <v>0.00221128087236321</v>
      </c>
      <c r="AH72" s="220" t="n">
        <f aca="false">Algae_electricity_factor/L72</f>
        <v>0.00221128087236321</v>
      </c>
      <c r="AI72" s="220" t="n">
        <f aca="false">Algae_electricity_factor/M72</f>
        <v>0.00211115738973954</v>
      </c>
      <c r="AJ72" s="220" t="n">
        <f aca="false">Algae_electricity_factor/N72</f>
        <v>0.00205536465068244</v>
      </c>
      <c r="AK72" s="220" t="n">
        <f aca="false">Algae_electricity_factor/O72</f>
        <v>0.00197576402710599</v>
      </c>
      <c r="AL72" s="220" t="n">
        <f aca="false">Algae_electricity_factor/P72</f>
        <v>0.00187012275009495</v>
      </c>
      <c r="AM72" s="220" t="n">
        <f aca="false">Algae_electricity_factor/Q72</f>
        <v>0.00174261855994568</v>
      </c>
      <c r="AN72" s="220" t="n">
        <f aca="false">Algae_electricity_factor/R72</f>
        <v>0.00160523817731818</v>
      </c>
      <c r="AO72" s="220" t="n">
        <f aca="false">Algae_electricity_factor/S72</f>
        <v>0.00147418724824214</v>
      </c>
      <c r="AP72" s="220" t="n">
        <f aca="false">Algae_electricity_factor/T72</f>
        <v>0.00136291913753251</v>
      </c>
      <c r="AQ72" s="220" t="n">
        <f aca="false">Algae_electricity_factor/U72</f>
        <v>0.00127741539175021</v>
      </c>
      <c r="AR72" s="220" t="n">
        <f aca="false">Algae_electricity_factor/V72</f>
        <v>0.0012166108741767</v>
      </c>
      <c r="AS72" s="220" t="n">
        <f aca="false">Algae_electricity_factor/W72</f>
        <v>0.00117571475320487</v>
      </c>
      <c r="AT72" s="220" t="n">
        <f aca="false">Algae_electricity_factor/X72</f>
        <v>0.001149229671848</v>
      </c>
      <c r="AU72" s="220" t="n">
        <f aca="false">Algae_electricity_factor/Y72</f>
        <v>0.00113249522360607</v>
      </c>
      <c r="AV72" s="220" t="n">
        <f aca="false">Algae_electricity_factor/Z72</f>
        <v>0.00112208585594779</v>
      </c>
      <c r="AW72" s="220" t="n">
        <f aca="false">Algae_electricity_factor/AA72</f>
        <v>0.00111567380786029</v>
      </c>
      <c r="AX72" s="220" t="n">
        <f aca="false">Algae_electricity_factor/AB72</f>
        <v>0.0011117477907801</v>
      </c>
      <c r="AY72" s="220" t="n">
        <f aca="false">Algae_electricity_factor/AC72</f>
        <v>0.00110935280264688</v>
      </c>
      <c r="AZ72" s="221" t="n">
        <f aca="false">Algae_yield_cost_factor/H72</f>
        <v>0.122416039864432</v>
      </c>
      <c r="BA72" s="197" t="n">
        <f aca="false">Algae_yield_cost_factor/I72</f>
        <v>0.122416039864432</v>
      </c>
      <c r="BB72" s="197" t="n">
        <f aca="false">Algae_yield_cost_factor/J72</f>
        <v>0.122416039864432</v>
      </c>
      <c r="BC72" s="197" t="n">
        <f aca="false">Algae_yield_cost_factor/K72</f>
        <v>0.122416039864432</v>
      </c>
      <c r="BD72" s="197" t="n">
        <f aca="false">Algae_yield_cost_factor/L72</f>
        <v>0.122416039864432</v>
      </c>
      <c r="BE72" s="197" t="n">
        <f aca="false">Algae_yield_cost_factor/M72</f>
        <v>0.116873225112399</v>
      </c>
      <c r="BF72" s="197" t="n">
        <f aca="false">Algae_yield_cost_factor/N72</f>
        <v>0.113784550917311</v>
      </c>
      <c r="BG72" s="197" t="n">
        <f aca="false">Algae_yield_cost_factor/O72</f>
        <v>0.109377877287219</v>
      </c>
      <c r="BH72" s="197" t="n">
        <f aca="false">Algae_yield_cost_factor/P72</f>
        <v>0.103529598608766</v>
      </c>
      <c r="BI72" s="197" t="n">
        <f aca="false">Algae_yield_cost_factor/Q72</f>
        <v>0.0964709936982494</v>
      </c>
      <c r="BJ72" s="197" t="n">
        <f aca="false">Algae_yield_cost_factor/R72</f>
        <v>0.088865644867847</v>
      </c>
      <c r="BK72" s="197" t="n">
        <f aca="false">Algae_yield_cost_factor/S72</f>
        <v>0.081610693242955</v>
      </c>
      <c r="BL72" s="197" t="n">
        <f aca="false">Algae_yield_cost_factor/T72</f>
        <v>0.0754509142449515</v>
      </c>
      <c r="BM72" s="197" t="n">
        <f aca="false">Algae_yield_cost_factor/U72</f>
        <v>0.0707174450221754</v>
      </c>
      <c r="BN72" s="197" t="n">
        <f aca="false">Algae_yield_cost_factor/V72</f>
        <v>0.0673513198319089</v>
      </c>
      <c r="BO72" s="197" t="n">
        <f aca="false">Algae_yield_cost_factor/W72</f>
        <v>0.0650873192529875</v>
      </c>
      <c r="BP72" s="197" t="n">
        <f aca="false">Algae_yield_cost_factor/X72</f>
        <v>0.0636211107691552</v>
      </c>
      <c r="BQ72" s="197" t="n">
        <f aca="false">Algae_yield_cost_factor/Y72</f>
        <v>0.0626946952655001</v>
      </c>
      <c r="BR72" s="197" t="n">
        <f aca="false">Algae_yield_cost_factor/Z72</f>
        <v>0.0621184348807856</v>
      </c>
      <c r="BS72" s="197" t="n">
        <f aca="false">Algae_yield_cost_factor/AA72</f>
        <v>0.0617634652592861</v>
      </c>
      <c r="BT72" s="197" t="n">
        <f aca="false">Algae_yield_cost_factor/AB72</f>
        <v>0.0615461217868199</v>
      </c>
      <c r="BU72" s="197" t="n">
        <f aca="false">Algae_yield_cost_factor/AC72</f>
        <v>0.0614135357519768</v>
      </c>
    </row>
    <row r="73" customFormat="false" ht="15" hidden="false" customHeight="false" outlineLevel="0" collapsed="false">
      <c r="A73" s="18" t="s">
        <v>700</v>
      </c>
      <c r="B73" s="18" t="s">
        <v>22</v>
      </c>
      <c r="C73" s="18" t="s">
        <v>694</v>
      </c>
      <c r="D73" s="18" t="s">
        <v>694</v>
      </c>
      <c r="E73" s="28" t="n">
        <v>6.119809</v>
      </c>
      <c r="F73" s="185" t="n">
        <f aca="false">E73/$B$2*$F$3/1000</f>
        <v>0.01499353205</v>
      </c>
      <c r="G73" s="18" t="n">
        <f aca="false">LOOKUP(RIGHT(D73,5),Ref!$C$4:$C$21,Ref!$E$4:$E$21)*$G$3</f>
        <v>3</v>
      </c>
      <c r="H73" s="218" t="n">
        <f aca="false">$E73</f>
        <v>6.119809</v>
      </c>
      <c r="I73" s="177" t="n">
        <f aca="false">$E73</f>
        <v>6.119809</v>
      </c>
      <c r="J73" s="177" t="n">
        <f aca="false">$E73</f>
        <v>6.119809</v>
      </c>
      <c r="K73" s="177" t="n">
        <f aca="false">$E73</f>
        <v>6.119809</v>
      </c>
      <c r="L73" s="177" t="n">
        <f aca="false">$E73</f>
        <v>6.119809</v>
      </c>
      <c r="M73" s="177" t="n">
        <f aca="false">M$3*$E73</f>
        <v>6.41004628550493</v>
      </c>
      <c r="N73" s="177" t="n">
        <f aca="false">N$3*$E73</f>
        <v>6.58404657281763</v>
      </c>
      <c r="O73" s="177" t="n">
        <f aca="false">O$3*$E73</f>
        <v>6.84930811501725</v>
      </c>
      <c r="P73" s="177" t="n">
        <f aca="false">P$3*$E73</f>
        <v>7.23621836241985</v>
      </c>
      <c r="Q73" s="177" t="n">
        <f aca="false">Q$3*$E73</f>
        <v>7.76567913097289</v>
      </c>
      <c r="R73" s="177" t="n">
        <f aca="false">R$3*$E73</f>
        <v>8.43028578277691</v>
      </c>
      <c r="S73" s="177" t="n">
        <f aca="false">S$3*$E73</f>
        <v>9.1797135</v>
      </c>
      <c r="T73" s="177" t="n">
        <f aca="false">T$3*$E73</f>
        <v>9.92914121722309</v>
      </c>
      <c r="U73" s="177" t="n">
        <f aca="false">U$3*$E73</f>
        <v>10.5937478690271</v>
      </c>
      <c r="V73" s="177" t="n">
        <f aca="false">V$3*$E73</f>
        <v>11.1232086375801</v>
      </c>
      <c r="W73" s="177" t="n">
        <f aca="false">W$3*$E73</f>
        <v>11.5101188849827</v>
      </c>
      <c r="X73" s="177" t="n">
        <f aca="false">X$3*$E73</f>
        <v>11.7753804271824</v>
      </c>
      <c r="Y73" s="177" t="n">
        <f aca="false">Y$3*$E73</f>
        <v>11.9493807144951</v>
      </c>
      <c r="Z73" s="177" t="n">
        <f aca="false">Z$3*$E73</f>
        <v>12.0602327464378</v>
      </c>
      <c r="AA73" s="177" t="n">
        <f aca="false">AA$3*$E73</f>
        <v>12.1295458303981</v>
      </c>
      <c r="AB73" s="177" t="n">
        <f aca="false">AB$3*$E73</f>
        <v>12.1723800096068</v>
      </c>
      <c r="AC73" s="177" t="n">
        <f aca="false">AC$3*$E73</f>
        <v>12.1986590306779</v>
      </c>
      <c r="AD73" s="219" t="n">
        <f aca="false">Algae_electricity_factor/H73</f>
        <v>0.00224575588936342</v>
      </c>
      <c r="AE73" s="220" t="n">
        <f aca="false">Algae_electricity_factor/I73</f>
        <v>0.00224575588936342</v>
      </c>
      <c r="AF73" s="220" t="n">
        <f aca="false">Algae_electricity_factor/J73</f>
        <v>0.00224575588936342</v>
      </c>
      <c r="AG73" s="220" t="n">
        <f aca="false">Algae_electricity_factor/K73</f>
        <v>0.00224575588936342</v>
      </c>
      <c r="AH73" s="220" t="n">
        <f aca="false">Algae_electricity_factor/L73</f>
        <v>0.00224575588936342</v>
      </c>
      <c r="AI73" s="220" t="n">
        <f aca="false">Algae_electricity_factor/M73</f>
        <v>0.00214407142965687</v>
      </c>
      <c r="AJ73" s="220" t="n">
        <f aca="false">Algae_electricity_factor/N73</f>
        <v>0.00208740885282768</v>
      </c>
      <c r="AK73" s="220" t="n">
        <f aca="false">Algae_electricity_factor/O73</f>
        <v>0.00200656721419732</v>
      </c>
      <c r="AL73" s="220" t="n">
        <f aca="false">Algae_electricity_factor/P73</f>
        <v>0.00189927893482381</v>
      </c>
      <c r="AM73" s="220" t="n">
        <f aca="false">Algae_electricity_factor/Q73</f>
        <v>0.00176978688814399</v>
      </c>
      <c r="AN73" s="220" t="n">
        <f aca="false">Algae_electricity_factor/R73</f>
        <v>0.00163026467401704</v>
      </c>
      <c r="AO73" s="220" t="n">
        <f aca="false">Algae_electricity_factor/S73</f>
        <v>0.00149717059290895</v>
      </c>
      <c r="AP73" s="220" t="n">
        <f aca="false">Algae_electricity_factor/T73</f>
        <v>0.00138416775457777</v>
      </c>
      <c r="AQ73" s="220" t="n">
        <f aca="false">Algae_electricity_factor/U73</f>
        <v>0.00129733096100119</v>
      </c>
      <c r="AR73" s="220" t="n">
        <f aca="false">Algae_electricity_factor/V73</f>
        <v>0.00123557846942617</v>
      </c>
      <c r="AS73" s="220" t="n">
        <f aca="false">Algae_electricity_factor/W73</f>
        <v>0.00119404475669322</v>
      </c>
      <c r="AT73" s="220" t="n">
        <f aca="false">Algae_electricity_factor/X73</f>
        <v>0.00116714675916571</v>
      </c>
      <c r="AU73" s="220" t="n">
        <f aca="false">Algae_electricity_factor/Y73</f>
        <v>0.00115015141218639</v>
      </c>
      <c r="AV73" s="220" t="n">
        <f aca="false">Algae_electricity_factor/Z73</f>
        <v>0.00113957975708128</v>
      </c>
      <c r="AW73" s="220" t="n">
        <f aca="false">Algae_electricity_factor/AA73</f>
        <v>0.00113306774183467</v>
      </c>
      <c r="AX73" s="220" t="n">
        <f aca="false">Algae_electricity_factor/AB73</f>
        <v>0.00112908051610962</v>
      </c>
      <c r="AY73" s="220" t="n">
        <f aca="false">Algae_electricity_factor/AC73</f>
        <v>0.00112664818886781</v>
      </c>
      <c r="AZ73" s="221" t="n">
        <f aca="false">Algae_yield_cost_factor/H73</f>
        <v>0.124324569490031</v>
      </c>
      <c r="BA73" s="197" t="n">
        <f aca="false">Algae_yield_cost_factor/I73</f>
        <v>0.124324569490031</v>
      </c>
      <c r="BB73" s="197" t="n">
        <f aca="false">Algae_yield_cost_factor/J73</f>
        <v>0.124324569490031</v>
      </c>
      <c r="BC73" s="197" t="n">
        <f aca="false">Algae_yield_cost_factor/K73</f>
        <v>0.124324569490031</v>
      </c>
      <c r="BD73" s="197" t="n">
        <f aca="false">Algae_yield_cost_factor/L73</f>
        <v>0.124324569490031</v>
      </c>
      <c r="BE73" s="197" t="n">
        <f aca="false">Algae_yield_cost_factor/M73</f>
        <v>0.118695339377925</v>
      </c>
      <c r="BF73" s="197" t="n">
        <f aca="false">Algae_yield_cost_factor/N73</f>
        <v>0.115558511148353</v>
      </c>
      <c r="BG73" s="197" t="n">
        <f aca="false">Algae_yield_cost_factor/O73</f>
        <v>0.111083135188218</v>
      </c>
      <c r="BH73" s="197" t="n">
        <f aca="false">Algae_yield_cost_factor/P73</f>
        <v>0.105143678808469</v>
      </c>
      <c r="BI73" s="197" t="n">
        <f aca="false">Algae_yield_cost_factor/Q73</f>
        <v>0.0979750265822403</v>
      </c>
      <c r="BJ73" s="197" t="n">
        <f aca="false">Algae_yield_cost_factor/R73</f>
        <v>0.0902511064145205</v>
      </c>
      <c r="BK73" s="197" t="n">
        <f aca="false">Algae_yield_cost_factor/S73</f>
        <v>0.0828830463266874</v>
      </c>
      <c r="BL73" s="197" t="n">
        <f aca="false">Algae_yield_cost_factor/T73</f>
        <v>0.0766272331756608</v>
      </c>
      <c r="BM73" s="197" t="n">
        <f aca="false">Algae_yield_cost_factor/U73</f>
        <v>0.0718199667098638</v>
      </c>
      <c r="BN73" s="197" t="n">
        <f aca="false">Algae_yield_cost_factor/V73</f>
        <v>0.068401361880032</v>
      </c>
      <c r="BO73" s="197" t="n">
        <f aca="false">Algae_yield_cost_factor/W73</f>
        <v>0.0661020643565106</v>
      </c>
      <c r="BP73" s="197" t="n">
        <f aca="false">Algae_yield_cost_factor/X73</f>
        <v>0.0646129969210917</v>
      </c>
      <c r="BQ73" s="197" t="n">
        <f aca="false">Algae_yield_cost_factor/Y73</f>
        <v>0.0636721381186965</v>
      </c>
      <c r="BR73" s="197" t="n">
        <f aca="false">Algae_yield_cost_factor/Z73</f>
        <v>0.063086893535363</v>
      </c>
      <c r="BS73" s="197" t="n">
        <f aca="false">Algae_yield_cost_factor/AA73</f>
        <v>0.0627263897531476</v>
      </c>
      <c r="BT73" s="197" t="n">
        <f aca="false">Algae_yield_cost_factor/AB73</f>
        <v>0.0625056577830907</v>
      </c>
      <c r="BU73" s="197" t="n">
        <f aca="false">Algae_yield_cost_factor/AC73</f>
        <v>0.0623710046631196</v>
      </c>
    </row>
    <row r="74" customFormat="false" ht="15" hidden="false" customHeight="false" outlineLevel="0" collapsed="false">
      <c r="A74" s="18" t="s">
        <v>700</v>
      </c>
      <c r="B74" s="18" t="s">
        <v>22</v>
      </c>
      <c r="C74" s="18" t="s">
        <v>682</v>
      </c>
      <c r="D74" s="18" t="s">
        <v>682</v>
      </c>
      <c r="E74" s="28" t="n">
        <v>5.93417</v>
      </c>
      <c r="F74" s="185" t="n">
        <f aca="false">E74/$B$2*$F$3/1000</f>
        <v>0.0145387165</v>
      </c>
      <c r="G74" s="18" t="n">
        <f aca="false">LOOKUP(RIGHT(D74,5),Ref!$C$4:$C$21,Ref!$E$4:$E$21)*$G$3</f>
        <v>3</v>
      </c>
      <c r="H74" s="218" t="n">
        <f aca="false">$E74</f>
        <v>5.93417</v>
      </c>
      <c r="I74" s="177" t="n">
        <f aca="false">$E74</f>
        <v>5.93417</v>
      </c>
      <c r="J74" s="177" t="n">
        <f aca="false">$E74</f>
        <v>5.93417</v>
      </c>
      <c r="K74" s="177" t="n">
        <f aca="false">$E74</f>
        <v>5.93417</v>
      </c>
      <c r="L74" s="177" t="n">
        <f aca="false">$E74</f>
        <v>5.93417</v>
      </c>
      <c r="M74" s="177" t="n">
        <f aca="false">M$3*$E74</f>
        <v>6.21560319383412</v>
      </c>
      <c r="N74" s="177" t="n">
        <f aca="false">N$3*$E74</f>
        <v>6.38432533613666</v>
      </c>
      <c r="O74" s="177" t="n">
        <f aca="false">O$3*$E74</f>
        <v>6.64154040377599</v>
      </c>
      <c r="P74" s="177" t="n">
        <f aca="false">P$3*$E74</f>
        <v>7.01671407060597</v>
      </c>
      <c r="Q74" s="177" t="n">
        <f aca="false">Q$3*$E74</f>
        <v>7.53011411445119</v>
      </c>
      <c r="R74" s="177" t="n">
        <f aca="false">R$3*$E74</f>
        <v>8.17456051056189</v>
      </c>
      <c r="S74" s="177" t="n">
        <f aca="false">S$3*$E74</f>
        <v>8.901255</v>
      </c>
      <c r="T74" s="177" t="n">
        <f aca="false">T$3*$E74</f>
        <v>9.62794948943811</v>
      </c>
      <c r="U74" s="177" t="n">
        <f aca="false">U$3*$E74</f>
        <v>10.2723958855488</v>
      </c>
      <c r="V74" s="177" t="n">
        <f aca="false">V$3*$E74</f>
        <v>10.785795929394</v>
      </c>
      <c r="W74" s="177" t="n">
        <f aca="false">W$3*$E74</f>
        <v>11.160969596224</v>
      </c>
      <c r="X74" s="177" t="n">
        <f aca="false">X$3*$E74</f>
        <v>11.4181846638633</v>
      </c>
      <c r="Y74" s="177" t="n">
        <f aca="false">Y$3*$E74</f>
        <v>11.5869068061659</v>
      </c>
      <c r="Z74" s="177" t="n">
        <f aca="false">Z$3*$E74</f>
        <v>11.6943962396422</v>
      </c>
      <c r="AA74" s="177" t="n">
        <f aca="false">AA$3*$E74</f>
        <v>11.7616067724293</v>
      </c>
      <c r="AB74" s="177" t="n">
        <f aca="false">AB$3*$E74</f>
        <v>11.8031416146498</v>
      </c>
      <c r="AC74" s="177" t="n">
        <f aca="false">AC$3*$E74</f>
        <v>11.8286234848306</v>
      </c>
      <c r="AD74" s="219" t="n">
        <f aca="false">Algae_electricity_factor/H74</f>
        <v>0.00231601000704888</v>
      </c>
      <c r="AE74" s="220" t="n">
        <f aca="false">Algae_electricity_factor/I74</f>
        <v>0.00231601000704888</v>
      </c>
      <c r="AF74" s="220" t="n">
        <f aca="false">Algae_electricity_factor/J74</f>
        <v>0.00231601000704888</v>
      </c>
      <c r="AG74" s="220" t="n">
        <f aca="false">Algae_electricity_factor/K74</f>
        <v>0.00231601000704888</v>
      </c>
      <c r="AH74" s="220" t="n">
        <f aca="false">Algae_electricity_factor/L74</f>
        <v>0.00231601000704888</v>
      </c>
      <c r="AI74" s="220" t="n">
        <f aca="false">Algae_electricity_factor/M74</f>
        <v>0.00221114454622247</v>
      </c>
      <c r="AJ74" s="220" t="n">
        <f aca="false">Algae_electricity_factor/N74</f>
        <v>0.00215270939056591</v>
      </c>
      <c r="AK74" s="220" t="n">
        <f aca="false">Algae_electricity_factor/O74</f>
        <v>0.00206933877805147</v>
      </c>
      <c r="AL74" s="220" t="n">
        <f aca="false">Algae_electricity_factor/P74</f>
        <v>0.0019586941929276</v>
      </c>
      <c r="AM74" s="220" t="n">
        <f aca="false">Algae_electricity_factor/Q74</f>
        <v>0.00182515123869818</v>
      </c>
      <c r="AN74" s="220" t="n">
        <f aca="false">Algae_electricity_factor/R74</f>
        <v>0.00168126434268508</v>
      </c>
      <c r="AO74" s="220" t="n">
        <f aca="false">Algae_electricity_factor/S74</f>
        <v>0.00154400667136592</v>
      </c>
      <c r="AP74" s="220" t="n">
        <f aca="false">Algae_electricity_factor/T74</f>
        <v>0.00142746875838994</v>
      </c>
      <c r="AQ74" s="220" t="n">
        <f aca="false">Algae_electricity_factor/U74</f>
        <v>0.00133791544413351</v>
      </c>
      <c r="AR74" s="220" t="n">
        <f aca="false">Algae_electricity_factor/V74</f>
        <v>0.00127423114561944</v>
      </c>
      <c r="AS74" s="220" t="n">
        <f aca="false">Algae_electricity_factor/W74</f>
        <v>0.00123139813123217</v>
      </c>
      <c r="AT74" s="220" t="n">
        <f aca="false">Algae_electricity_factor/X74</f>
        <v>0.00120365868201672</v>
      </c>
      <c r="AU74" s="220" t="n">
        <f aca="false">Algae_electricity_factor/Y74</f>
        <v>0.00118613166856712</v>
      </c>
      <c r="AV74" s="220" t="n">
        <f aca="false">Algae_electricity_factor/Z74</f>
        <v>0.00117522929973422</v>
      </c>
      <c r="AW74" s="220" t="n">
        <f aca="false">Algae_electricity_factor/AA74</f>
        <v>0.00116851356871971</v>
      </c>
      <c r="AX74" s="220" t="n">
        <f aca="false">Algae_electricity_factor/AB74</f>
        <v>0.0011644016103705</v>
      </c>
      <c r="AY74" s="220" t="n">
        <f aca="false">Algae_electricity_factor/AC74</f>
        <v>0.00116189319248807</v>
      </c>
      <c r="AZ74" s="221" t="n">
        <f aca="false">Algae_yield_cost_factor/H74</f>
        <v>0.128213822537308</v>
      </c>
      <c r="BA74" s="197" t="n">
        <f aca="false">Algae_yield_cost_factor/I74</f>
        <v>0.128213822537308</v>
      </c>
      <c r="BB74" s="197" t="n">
        <f aca="false">Algae_yield_cost_factor/J74</f>
        <v>0.128213822537308</v>
      </c>
      <c r="BC74" s="197" t="n">
        <f aca="false">Algae_yield_cost_factor/K74</f>
        <v>0.128213822537308</v>
      </c>
      <c r="BD74" s="197" t="n">
        <f aca="false">Algae_yield_cost_factor/L74</f>
        <v>0.128213822537308</v>
      </c>
      <c r="BE74" s="197" t="n">
        <f aca="false">Algae_yield_cost_factor/M74</f>
        <v>0.122408492878209</v>
      </c>
      <c r="BF74" s="197" t="n">
        <f aca="false">Algae_yield_cost_factor/N74</f>
        <v>0.119173535060891</v>
      </c>
      <c r="BG74" s="197" t="n">
        <f aca="false">Algae_yield_cost_factor/O74</f>
        <v>0.114558155643177</v>
      </c>
      <c r="BH74" s="197" t="n">
        <f aca="false">Algae_yield_cost_factor/P74</f>
        <v>0.10843289488929</v>
      </c>
      <c r="BI74" s="197" t="n">
        <f aca="false">Algae_yield_cost_factor/Q74</f>
        <v>0.10103998528071</v>
      </c>
      <c r="BJ74" s="197" t="n">
        <f aca="false">Algae_yield_cost_factor/R74</f>
        <v>0.0930744372499507</v>
      </c>
      <c r="BK74" s="197" t="n">
        <f aca="false">Algae_yield_cost_factor/S74</f>
        <v>0.0854758816915388</v>
      </c>
      <c r="BL74" s="197" t="n">
        <f aca="false">Algae_yield_cost_factor/T74</f>
        <v>0.0790243675583118</v>
      </c>
      <c r="BM74" s="197" t="n">
        <f aca="false">Algae_yield_cost_factor/U74</f>
        <v>0.0740667150841187</v>
      </c>
      <c r="BN74" s="197" t="n">
        <f aca="false">Algae_yield_cost_factor/V74</f>
        <v>0.070541165832067</v>
      </c>
      <c r="BO74" s="197" t="n">
        <f aca="false">Algae_yield_cost_factor/W74</f>
        <v>0.0681699392446716</v>
      </c>
      <c r="BP74" s="197" t="n">
        <f aca="false">Algae_yield_cost_factor/X74</f>
        <v>0.0666342892223629</v>
      </c>
      <c r="BQ74" s="197" t="n">
        <f aca="false">Algae_yield_cost_factor/Y74</f>
        <v>0.065663997476992</v>
      </c>
      <c r="BR74" s="197" t="n">
        <f aca="false">Algae_yield_cost_factor/Z74</f>
        <v>0.0650604446518647</v>
      </c>
      <c r="BS74" s="197" t="n">
        <f aca="false">Algae_yield_cost_factor/AA74</f>
        <v>0.0646886632079668</v>
      </c>
      <c r="BT74" s="197" t="n">
        <f aca="false">Algae_yield_cost_factor/AB74</f>
        <v>0.0644610260663039</v>
      </c>
      <c r="BU74" s="197" t="n">
        <f aca="false">Algae_yield_cost_factor/AC74</f>
        <v>0.0643221605846144</v>
      </c>
    </row>
    <row r="75" customFormat="false" ht="15" hidden="false" customHeight="false" outlineLevel="0" collapsed="false">
      <c r="A75" s="18" t="s">
        <v>700</v>
      </c>
      <c r="B75" s="18" t="s">
        <v>22</v>
      </c>
      <c r="C75" s="18" t="s">
        <v>686</v>
      </c>
      <c r="D75" s="18" t="s">
        <v>686</v>
      </c>
      <c r="E75" s="28" t="n">
        <v>5.782695</v>
      </c>
      <c r="F75" s="185" t="n">
        <f aca="false">E75/$B$2*$F$3/1000</f>
        <v>0.01416760275</v>
      </c>
      <c r="G75" s="18" t="n">
        <f aca="false">LOOKUP(RIGHT(D75,5),Ref!$C$4:$C$21,Ref!$E$4:$E$21)*$G$3</f>
        <v>4.5</v>
      </c>
      <c r="H75" s="218" t="n">
        <f aca="false">$E75</f>
        <v>5.782695</v>
      </c>
      <c r="I75" s="177" t="n">
        <f aca="false">$E75</f>
        <v>5.782695</v>
      </c>
      <c r="J75" s="177" t="n">
        <f aca="false">$E75</f>
        <v>5.782695</v>
      </c>
      <c r="K75" s="177" t="n">
        <f aca="false">$E75</f>
        <v>5.782695</v>
      </c>
      <c r="L75" s="177" t="n">
        <f aca="false">$E75</f>
        <v>5.782695</v>
      </c>
      <c r="M75" s="177" t="n">
        <f aca="false">M$3*$E75</f>
        <v>6.05694435969455</v>
      </c>
      <c r="N75" s="177" t="n">
        <f aca="false">N$3*$E75</f>
        <v>6.22135971831795</v>
      </c>
      <c r="O75" s="177" t="n">
        <f aca="false">O$3*$E75</f>
        <v>6.47200914116269</v>
      </c>
      <c r="P75" s="177" t="n">
        <f aca="false">P$3*$E75</f>
        <v>6.8376061643874</v>
      </c>
      <c r="Q75" s="177" t="n">
        <f aca="false">Q$3*$E75</f>
        <v>7.33790121264916</v>
      </c>
      <c r="R75" s="177" t="n">
        <f aca="false">R$3*$E75</f>
        <v>7.96589753775569</v>
      </c>
      <c r="S75" s="177" t="n">
        <f aca="false">S$3*$E75</f>
        <v>8.6740425</v>
      </c>
      <c r="T75" s="177" t="n">
        <f aca="false">T$3*$E75</f>
        <v>9.38218746224431</v>
      </c>
      <c r="U75" s="177" t="n">
        <f aca="false">U$3*$E75</f>
        <v>10.0101837873508</v>
      </c>
      <c r="V75" s="177" t="n">
        <f aca="false">V$3*$E75</f>
        <v>10.5104788356126</v>
      </c>
      <c r="W75" s="177" t="n">
        <f aca="false">W$3*$E75</f>
        <v>10.8760758588373</v>
      </c>
      <c r="X75" s="177" t="n">
        <f aca="false">X$3*$E75</f>
        <v>11.1267252816821</v>
      </c>
      <c r="Y75" s="177" t="n">
        <f aca="false">Y$3*$E75</f>
        <v>11.2911406403055</v>
      </c>
      <c r="Z75" s="177" t="n">
        <f aca="false">Z$3*$E75</f>
        <v>11.3958863097953</v>
      </c>
      <c r="AA75" s="177" t="n">
        <f aca="false">AA$3*$E75</f>
        <v>11.4613812335833</v>
      </c>
      <c r="AB75" s="177" t="n">
        <f aca="false">AB$3*$E75</f>
        <v>11.5018558617848</v>
      </c>
      <c r="AC75" s="177" t="n">
        <f aca="false">AC$3*$E75</f>
        <v>11.5266872844244</v>
      </c>
      <c r="AD75" s="219" t="n">
        <f aca="false">Algae_electricity_factor/H75</f>
        <v>0.00237667680960681</v>
      </c>
      <c r="AE75" s="220" t="n">
        <f aca="false">Algae_electricity_factor/I75</f>
        <v>0.00237667680960681</v>
      </c>
      <c r="AF75" s="220" t="n">
        <f aca="false">Algae_electricity_factor/J75</f>
        <v>0.00237667680960681</v>
      </c>
      <c r="AG75" s="220" t="n">
        <f aca="false">Algae_electricity_factor/K75</f>
        <v>0.00237667680960681</v>
      </c>
      <c r="AH75" s="220" t="n">
        <f aca="false">Algae_electricity_factor/L75</f>
        <v>0.00237667680960681</v>
      </c>
      <c r="AI75" s="220" t="n">
        <f aca="false">Algae_electricity_factor/M75</f>
        <v>0.00226906444691566</v>
      </c>
      <c r="AJ75" s="220" t="n">
        <f aca="false">Algae_electricity_factor/N75</f>
        <v>0.00220909860959544</v>
      </c>
      <c r="AK75" s="220" t="n">
        <f aca="false">Algae_electricity_factor/O75</f>
        <v>0.00212354414274826</v>
      </c>
      <c r="AL75" s="220" t="n">
        <f aca="false">Algae_electricity_factor/P75</f>
        <v>0.00201000127429255</v>
      </c>
      <c r="AM75" s="220" t="n">
        <f aca="false">Algae_electricity_factor/Q75</f>
        <v>0.00187296022462634</v>
      </c>
      <c r="AN75" s="220" t="n">
        <f aca="false">Algae_electricity_factor/R75</f>
        <v>0.0017253042784431</v>
      </c>
      <c r="AO75" s="220" t="n">
        <f aca="false">Algae_electricity_factor/S75</f>
        <v>0.00158445120640454</v>
      </c>
      <c r="AP75" s="220" t="n">
        <f aca="false">Algae_electricity_factor/T75</f>
        <v>0.00146486063712072</v>
      </c>
      <c r="AQ75" s="220" t="n">
        <f aca="false">Algae_electricity_factor/U75</f>
        <v>0.00137296151554141</v>
      </c>
      <c r="AR75" s="220" t="n">
        <f aca="false">Algae_electricity_factor/V75</f>
        <v>0.00130760903651334</v>
      </c>
      <c r="AS75" s="220" t="n">
        <f aca="false">Algae_electricity_factor/W75</f>
        <v>0.00126365403128022</v>
      </c>
      <c r="AT75" s="220" t="n">
        <f aca="false">Algae_electricity_factor/X75</f>
        <v>0.00123518796012295</v>
      </c>
      <c r="AU75" s="220" t="n">
        <f aca="false">Algae_electricity_factor/Y75</f>
        <v>0.00121720183472601</v>
      </c>
      <c r="AV75" s="220" t="n">
        <f aca="false">Algae_electricity_factor/Z75</f>
        <v>0.00120601388342353</v>
      </c>
      <c r="AW75" s="220" t="n">
        <f aca="false">Algae_electricity_factor/AA75</f>
        <v>0.00119912223696554</v>
      </c>
      <c r="AX75" s="220" t="n">
        <f aca="false">Algae_electricity_factor/AB75</f>
        <v>0.0011949025677841</v>
      </c>
      <c r="AY75" s="220" t="n">
        <f aca="false">Algae_electricity_factor/AC75</f>
        <v>0.00119232844306451</v>
      </c>
      <c r="AZ75" s="221" t="n">
        <f aca="false">Algae_yield_cost_factor/H75</f>
        <v>0.131572323853535</v>
      </c>
      <c r="BA75" s="197" t="n">
        <f aca="false">Algae_yield_cost_factor/I75</f>
        <v>0.131572323853535</v>
      </c>
      <c r="BB75" s="197" t="n">
        <f aca="false">Algae_yield_cost_factor/J75</f>
        <v>0.131572323853535</v>
      </c>
      <c r="BC75" s="197" t="n">
        <f aca="false">Algae_yield_cost_factor/K75</f>
        <v>0.131572323853535</v>
      </c>
      <c r="BD75" s="197" t="n">
        <f aca="false">Algae_yield_cost_factor/L75</f>
        <v>0.131572323853535</v>
      </c>
      <c r="BE75" s="197" t="n">
        <f aca="false">Algae_yield_cost_factor/M75</f>
        <v>0.125614926290092</v>
      </c>
      <c r="BF75" s="197" t="n">
        <f aca="false">Algae_yield_cost_factor/N75</f>
        <v>0.122295230260681</v>
      </c>
      <c r="BG75" s="197" t="n">
        <f aca="false">Algae_yield_cost_factor/O75</f>
        <v>0.117558953130516</v>
      </c>
      <c r="BH75" s="197" t="n">
        <f aca="false">Algae_yield_cost_factor/P75</f>
        <v>0.111273244026389</v>
      </c>
      <c r="BI75" s="197" t="n">
        <f aca="false">Algae_yield_cost_factor/Q75</f>
        <v>0.103686680596717</v>
      </c>
      <c r="BJ75" s="197" t="n">
        <f aca="false">Algae_yield_cost_factor/R75</f>
        <v>0.0955124787483241</v>
      </c>
      <c r="BK75" s="197" t="n">
        <f aca="false">Algae_yield_cost_factor/S75</f>
        <v>0.0877148825690234</v>
      </c>
      <c r="BL75" s="197" t="n">
        <f aca="false">Algae_yield_cost_factor/T75</f>
        <v>0.0810943740303625</v>
      </c>
      <c r="BM75" s="197" t="n">
        <f aca="false">Algae_yield_cost_factor/U75</f>
        <v>0.0760068581605506</v>
      </c>
      <c r="BN75" s="197" t="n">
        <f aca="false">Algae_yield_cost_factor/V75</f>
        <v>0.0723889587892284</v>
      </c>
      <c r="BO75" s="197" t="n">
        <f aca="false">Algae_yield_cost_factor/W75</f>
        <v>0.0699556190266913</v>
      </c>
      <c r="BP75" s="197" t="n">
        <f aca="false">Algae_yield_cost_factor/X75</f>
        <v>0.0683797433678707</v>
      </c>
      <c r="BQ75" s="197" t="n">
        <f aca="false">Algae_yield_cost_factor/Y75</f>
        <v>0.0673840352825182</v>
      </c>
      <c r="BR75" s="197" t="n">
        <f aca="false">Algae_yield_cost_factor/Z75</f>
        <v>0.0667646726724747</v>
      </c>
      <c r="BS75" s="197" t="n">
        <f aca="false">Algae_yield_cost_factor/AA75</f>
        <v>0.0663831525869548</v>
      </c>
      <c r="BT75" s="197" t="n">
        <f aca="false">Algae_yield_cost_factor/AB75</f>
        <v>0.066149552596476</v>
      </c>
      <c r="BU75" s="197" t="n">
        <f aca="false">Algae_yield_cost_factor/AC75</f>
        <v>0.0660070495982239</v>
      </c>
    </row>
    <row r="76" customFormat="false" ht="15" hidden="false" customHeight="false" outlineLevel="0" collapsed="false">
      <c r="A76" s="18" t="s">
        <v>700</v>
      </c>
      <c r="B76" s="18" t="s">
        <v>22</v>
      </c>
      <c r="C76" s="18" t="s">
        <v>688</v>
      </c>
      <c r="D76" s="18" t="s">
        <v>688</v>
      </c>
      <c r="E76" s="28" t="n">
        <v>6.331655</v>
      </c>
      <c r="F76" s="185" t="n">
        <f aca="false">E76/$B$2*$F$3/1000</f>
        <v>0.01551255475</v>
      </c>
      <c r="G76" s="18" t="n">
        <f aca="false">LOOKUP(RIGHT(D76,5),Ref!$C$4:$C$21,Ref!$E$4:$E$21)*$G$3</f>
        <v>4.5</v>
      </c>
      <c r="H76" s="218" t="n">
        <f aca="false">$E76</f>
        <v>6.331655</v>
      </c>
      <c r="I76" s="177" t="n">
        <f aca="false">$E76</f>
        <v>6.331655</v>
      </c>
      <c r="J76" s="177" t="n">
        <f aca="false">$E76</f>
        <v>6.331655</v>
      </c>
      <c r="K76" s="177" t="n">
        <f aca="false">$E76</f>
        <v>6.331655</v>
      </c>
      <c r="L76" s="177" t="n">
        <f aca="false">$E76</f>
        <v>6.331655</v>
      </c>
      <c r="M76" s="177" t="n">
        <f aca="false">M$3*$E76</f>
        <v>6.63193926703411</v>
      </c>
      <c r="N76" s="177" t="n">
        <f aca="false">N$3*$E76</f>
        <v>6.81196282482241</v>
      </c>
      <c r="O76" s="177" t="n">
        <f aca="false">O$3*$E76</f>
        <v>7.08640677723595</v>
      </c>
      <c r="P76" s="177" t="n">
        <f aca="false">P$3*$E76</f>
        <v>7.48671047993614</v>
      </c>
      <c r="Q76" s="177" t="n">
        <f aca="false">Q$3*$E76</f>
        <v>8.03449929532444</v>
      </c>
      <c r="R76" s="177" t="n">
        <f aca="false">R$3*$E76</f>
        <v>8.72211226329912</v>
      </c>
      <c r="S76" s="177" t="n">
        <f aca="false">S$3*$E76</f>
        <v>9.4974825</v>
      </c>
      <c r="T76" s="177" t="n">
        <f aca="false">T$3*$E76</f>
        <v>10.2728527367009</v>
      </c>
      <c r="U76" s="177" t="n">
        <f aca="false">U$3*$E76</f>
        <v>10.9604657046756</v>
      </c>
      <c r="V76" s="177" t="n">
        <f aca="false">V$3*$E76</f>
        <v>11.5082545200639</v>
      </c>
      <c r="W76" s="177" t="n">
        <f aca="false">W$3*$E76</f>
        <v>11.908558222764</v>
      </c>
      <c r="X76" s="177" t="n">
        <f aca="false">X$3*$E76</f>
        <v>12.1830021751776</v>
      </c>
      <c r="Y76" s="177" t="n">
        <f aca="false">Y$3*$E76</f>
        <v>12.3630257329659</v>
      </c>
      <c r="Z76" s="177" t="n">
        <f aca="false">Z$3*$E76</f>
        <v>12.477715067602</v>
      </c>
      <c r="AA76" s="177" t="n">
        <f aca="false">AA$3*$E76</f>
        <v>12.5494275237625</v>
      </c>
      <c r="AB76" s="177" t="n">
        <f aca="false">AB$3*$E76</f>
        <v>12.5937444697583</v>
      </c>
      <c r="AC76" s="177" t="n">
        <f aca="false">AC$3*$E76</f>
        <v>12.620933176981</v>
      </c>
      <c r="AD76" s="219" t="n">
        <f aca="false">Algae_electricity_factor/H76</f>
        <v>0.00217061686139394</v>
      </c>
      <c r="AE76" s="220" t="n">
        <f aca="false">Algae_electricity_factor/I76</f>
        <v>0.00217061686139394</v>
      </c>
      <c r="AF76" s="220" t="n">
        <f aca="false">Algae_electricity_factor/J76</f>
        <v>0.00217061686139394</v>
      </c>
      <c r="AG76" s="220" t="n">
        <f aca="false">Algae_electricity_factor/K76</f>
        <v>0.00217061686139394</v>
      </c>
      <c r="AH76" s="220" t="n">
        <f aca="false">Algae_electricity_factor/L76</f>
        <v>0.00217061686139394</v>
      </c>
      <c r="AI76" s="220" t="n">
        <f aca="false">Algae_electricity_factor/M76</f>
        <v>0.00207233458422118</v>
      </c>
      <c r="AJ76" s="220" t="n">
        <f aca="false">Algae_electricity_factor/N76</f>
        <v>0.00201756783719494</v>
      </c>
      <c r="AK76" s="220" t="n">
        <f aca="false">Algae_electricity_factor/O76</f>
        <v>0.0019394310170958</v>
      </c>
      <c r="AL76" s="220" t="n">
        <f aca="false">Algae_electricity_factor/P76</f>
        <v>0.00183573241417057</v>
      </c>
      <c r="AM76" s="220" t="n">
        <f aca="false">Algae_electricity_factor/Q76</f>
        <v>0.0017105729428002</v>
      </c>
      <c r="AN76" s="220" t="n">
        <f aca="false">Algae_electricity_factor/R76</f>
        <v>0.00157571889568075</v>
      </c>
      <c r="AO76" s="220" t="n">
        <f aca="false">Algae_electricity_factor/S76</f>
        <v>0.00144707790759596</v>
      </c>
      <c r="AP76" s="220" t="n">
        <f aca="false">Algae_electricity_factor/T76</f>
        <v>0.00133785594476876</v>
      </c>
      <c r="AQ76" s="220" t="n">
        <f aca="false">Algae_electricity_factor/U76</f>
        <v>0.00125392455702557</v>
      </c>
      <c r="AR76" s="220" t="n">
        <f aca="false">Algae_electricity_factor/V76</f>
        <v>0.00119423819481644</v>
      </c>
      <c r="AS76" s="220" t="n">
        <f aca="false">Algae_electricity_factor/W76</f>
        <v>0.00115409412679844</v>
      </c>
      <c r="AT76" s="220" t="n">
        <f aca="false">Algae_electricity_factor/X76</f>
        <v>0.00112809608878929</v>
      </c>
      <c r="AU76" s="220" t="n">
        <f aca="false">Algae_electricity_factor/Y76</f>
        <v>0.00111166937612061</v>
      </c>
      <c r="AV76" s="220" t="n">
        <f aca="false">Algae_electricity_factor/Z76</f>
        <v>0.0011014514299348</v>
      </c>
      <c r="AW76" s="220" t="n">
        <f aca="false">Algae_electricity_factor/AA76</f>
        <v>0.00109515729522368</v>
      </c>
      <c r="AX76" s="220" t="n">
        <f aca="false">Algae_electricity_factor/AB76</f>
        <v>0.00109130347503335</v>
      </c>
      <c r="AY76" s="220" t="n">
        <f aca="false">Algae_electricity_factor/AC76</f>
        <v>0.00108895252916764</v>
      </c>
      <c r="AZ76" s="221" t="n">
        <f aca="false">Algae_yield_cost_factor/H76</f>
        <v>0.120164888846</v>
      </c>
      <c r="BA76" s="197" t="n">
        <f aca="false">Algae_yield_cost_factor/I76</f>
        <v>0.120164888846</v>
      </c>
      <c r="BB76" s="197" t="n">
        <f aca="false">Algae_yield_cost_factor/J76</f>
        <v>0.120164888846</v>
      </c>
      <c r="BC76" s="197" t="n">
        <f aca="false">Algae_yield_cost_factor/K76</f>
        <v>0.120164888846</v>
      </c>
      <c r="BD76" s="197" t="n">
        <f aca="false">Algae_yield_cost_factor/L76</f>
        <v>0.120164888846</v>
      </c>
      <c r="BE76" s="197" t="n">
        <f aca="false">Algae_yield_cost_factor/M76</f>
        <v>0.114724002837028</v>
      </c>
      <c r="BF76" s="197" t="n">
        <f aca="false">Algae_yield_cost_factor/N76</f>
        <v>0.111692127343055</v>
      </c>
      <c r="BG76" s="197" t="n">
        <f aca="false">Algae_yield_cost_factor/O76</f>
        <v>0.107366489562851</v>
      </c>
      <c r="BH76" s="197" t="n">
        <f aca="false">Algae_yield_cost_factor/P76</f>
        <v>0.101625756909556</v>
      </c>
      <c r="BI76" s="197" t="n">
        <f aca="false">Algae_yield_cost_factor/Q76</f>
        <v>0.0946969551330945</v>
      </c>
      <c r="BJ76" s="197" t="n">
        <f aca="false">Algae_yield_cost_factor/R76</f>
        <v>0.0872314637003343</v>
      </c>
      <c r="BK76" s="197" t="n">
        <f aca="false">Algae_yield_cost_factor/S76</f>
        <v>0.0801099258973331</v>
      </c>
      <c r="BL76" s="197" t="n">
        <f aca="false">Algae_yield_cost_factor/T76</f>
        <v>0.0740634212119118</v>
      </c>
      <c r="BM76" s="197" t="n">
        <f aca="false">Algae_yield_cost_factor/U76</f>
        <v>0.0694169973965298</v>
      </c>
      <c r="BN76" s="197" t="n">
        <f aca="false">Algae_yield_cost_factor/V76</f>
        <v>0.0661127730499651</v>
      </c>
      <c r="BO76" s="197" t="n">
        <f aca="false">Algae_yield_cost_factor/W76</f>
        <v>0.0638904059629833</v>
      </c>
      <c r="BP76" s="197" t="n">
        <f aca="false">Algae_yield_cost_factor/X76</f>
        <v>0.062451160095531</v>
      </c>
      <c r="BQ76" s="197" t="n">
        <f aca="false">Algae_yield_cost_factor/Y76</f>
        <v>0.0615417807679101</v>
      </c>
      <c r="BR76" s="197" t="n">
        <f aca="false">Algae_yield_cost_factor/Z76</f>
        <v>0.0609761174352924</v>
      </c>
      <c r="BS76" s="197" t="n">
        <f aca="false">Algae_yield_cost_factor/AA76</f>
        <v>0.0606276754732879</v>
      </c>
      <c r="BT76" s="197" t="n">
        <f aca="false">Algae_yield_cost_factor/AB76</f>
        <v>0.0604143288053248</v>
      </c>
      <c r="BU76" s="197" t="n">
        <f aca="false">Algae_yield_cost_factor/AC76</f>
        <v>0.0602841809410654</v>
      </c>
    </row>
    <row r="77" customFormat="false" ht="15" hidden="false" customHeight="false" outlineLevel="0" collapsed="false">
      <c r="A77" s="18" t="s">
        <v>701</v>
      </c>
      <c r="B77" s="18" t="s">
        <v>22</v>
      </c>
      <c r="C77" s="18" t="s">
        <v>691</v>
      </c>
      <c r="D77" s="18" t="s">
        <v>691</v>
      </c>
      <c r="E77" s="28" t="n">
        <v>6.452105</v>
      </c>
      <c r="F77" s="185" t="n">
        <f aca="false">E77/$B$2*$F$3/1000</f>
        <v>0.01580765725</v>
      </c>
      <c r="G77" s="18" t="n">
        <f aca="false">LOOKUP(RIGHT(D77,5),Ref!$C$4:$C$21,Ref!$E$4:$E$21)*$G$3</f>
        <v>2</v>
      </c>
      <c r="H77" s="218" t="n">
        <f aca="false">$E77</f>
        <v>6.452105</v>
      </c>
      <c r="I77" s="177" t="n">
        <f aca="false">$E77</f>
        <v>6.452105</v>
      </c>
      <c r="J77" s="177" t="n">
        <f aca="false">$E77</f>
        <v>6.452105</v>
      </c>
      <c r="K77" s="177" t="n">
        <f aca="false">$E77</f>
        <v>6.452105</v>
      </c>
      <c r="L77" s="177" t="n">
        <f aca="false">$E77</f>
        <v>6.452105</v>
      </c>
      <c r="M77" s="177" t="n">
        <f aca="false">M$3*$E77</f>
        <v>6.75810171345835</v>
      </c>
      <c r="N77" s="177" t="n">
        <f aca="false">N$3*$E77</f>
        <v>6.94154994260597</v>
      </c>
      <c r="O77" s="177" t="n">
        <f aca="false">O$3*$E77</f>
        <v>7.22121476919352</v>
      </c>
      <c r="P77" s="177" t="n">
        <f aca="false">P$3*$E77</f>
        <v>7.62913363427861</v>
      </c>
      <c r="Q77" s="177" t="n">
        <f aca="false">Q$3*$E77</f>
        <v>8.18734328952845</v>
      </c>
      <c r="R77" s="177" t="n">
        <f aca="false">R$3*$E77</f>
        <v>8.88803703685586</v>
      </c>
      <c r="S77" s="177" t="n">
        <f aca="false">S$3*$E77</f>
        <v>9.6781575</v>
      </c>
      <c r="T77" s="177" t="n">
        <f aca="false">T$3*$E77</f>
        <v>10.4682779631441</v>
      </c>
      <c r="U77" s="177" t="n">
        <f aca="false">U$3*$E77</f>
        <v>11.1689717104715</v>
      </c>
      <c r="V77" s="177" t="n">
        <f aca="false">V$3*$E77</f>
        <v>11.7271813657214</v>
      </c>
      <c r="W77" s="177" t="n">
        <f aca="false">W$3*$E77</f>
        <v>12.1351002308065</v>
      </c>
      <c r="X77" s="177" t="n">
        <f aca="false">X$3*$E77</f>
        <v>12.414765057394</v>
      </c>
      <c r="Y77" s="177" t="n">
        <f aca="false">Y$3*$E77</f>
        <v>12.5982132865417</v>
      </c>
      <c r="Z77" s="177" t="n">
        <f aca="false">Z$3*$E77</f>
        <v>12.715084409408</v>
      </c>
      <c r="AA77" s="177" t="n">
        <f aca="false">AA$3*$E77</f>
        <v>12.7881610847725</v>
      </c>
      <c r="AB77" s="177" t="n">
        <f aca="false">AB$3*$E77</f>
        <v>12.8333210925184</v>
      </c>
      <c r="AC77" s="177" t="n">
        <f aca="false">AC$3*$E77</f>
        <v>12.8610270230872</v>
      </c>
      <c r="AD77" s="219" t="n">
        <f aca="false">Algae_electricity_factor/H77</f>
        <v>0.00213009507804496</v>
      </c>
      <c r="AE77" s="220" t="n">
        <f aca="false">Algae_electricity_factor/I77</f>
        <v>0.00213009507804496</v>
      </c>
      <c r="AF77" s="220" t="n">
        <f aca="false">Algae_electricity_factor/J77</f>
        <v>0.00213009507804496</v>
      </c>
      <c r="AG77" s="220" t="n">
        <f aca="false">Algae_electricity_factor/K77</f>
        <v>0.00213009507804496</v>
      </c>
      <c r="AH77" s="220" t="n">
        <f aca="false">Algae_electricity_factor/L77</f>
        <v>0.00213009507804496</v>
      </c>
      <c r="AI77" s="220" t="n">
        <f aca="false">Algae_electricity_factor/M77</f>
        <v>0.0020336475664697</v>
      </c>
      <c r="AJ77" s="220" t="n">
        <f aca="false">Algae_electricity_factor/N77</f>
        <v>0.00197990322293492</v>
      </c>
      <c r="AK77" s="220" t="n">
        <f aca="false">Algae_electricity_factor/O77</f>
        <v>0.00190322508647173</v>
      </c>
      <c r="AL77" s="220" t="n">
        <f aca="false">Algae_electricity_factor/P77</f>
        <v>0.00180146236287927</v>
      </c>
      <c r="AM77" s="220" t="n">
        <f aca="false">Algae_electricity_factor/Q77</f>
        <v>0.00167863940933162</v>
      </c>
      <c r="AN77" s="220" t="n">
        <f aca="false">Algae_electricity_factor/R77</f>
        <v>0.00154630286153612</v>
      </c>
      <c r="AO77" s="220" t="n">
        <f aca="false">Algae_electricity_factor/S77</f>
        <v>0.0014200633853633</v>
      </c>
      <c r="AP77" s="220" t="n">
        <f aca="false">Algae_electricity_factor/T77</f>
        <v>0.00131288041375254</v>
      </c>
      <c r="AQ77" s="220" t="n">
        <f aca="false">Algae_electricity_factor/U77</f>
        <v>0.00123051588452354</v>
      </c>
      <c r="AR77" s="220" t="n">
        <f aca="false">Algae_electricity_factor/V77</f>
        <v>0.00117194376678627</v>
      </c>
      <c r="AS77" s="220" t="n">
        <f aca="false">Algae_electricity_factor/W77</f>
        <v>0.00113254912131994</v>
      </c>
      <c r="AT77" s="220" t="n">
        <f aca="false">Algae_electricity_factor/X77</f>
        <v>0.00110703642316161</v>
      </c>
      <c r="AU77" s="220" t="n">
        <f aca="false">Algae_electricity_factor/Y77</f>
        <v>0.00109091636972135</v>
      </c>
      <c r="AV77" s="220" t="n">
        <f aca="false">Algae_electricity_factor/Z77</f>
        <v>0.00108088917548673</v>
      </c>
      <c r="AW77" s="220" t="n">
        <f aca="false">Algae_electricity_factor/AA77</f>
        <v>0.00107471254173475</v>
      </c>
      <c r="AX77" s="220" t="n">
        <f aca="false">Algae_electricity_factor/AB77</f>
        <v>0.00107093066591636</v>
      </c>
      <c r="AY77" s="220" t="n">
        <f aca="false">Algae_electricity_factor/AC77</f>
        <v>0.00106862360827466</v>
      </c>
      <c r="AZ77" s="221" t="n">
        <f aca="false">Algae_yield_cost_factor/H77</f>
        <v>0.117921611518445</v>
      </c>
      <c r="BA77" s="197" t="n">
        <f aca="false">Algae_yield_cost_factor/I77</f>
        <v>0.117921611518445</v>
      </c>
      <c r="BB77" s="197" t="n">
        <f aca="false">Algae_yield_cost_factor/J77</f>
        <v>0.117921611518445</v>
      </c>
      <c r="BC77" s="197" t="n">
        <f aca="false">Algae_yield_cost_factor/K77</f>
        <v>0.117921611518445</v>
      </c>
      <c r="BD77" s="197" t="n">
        <f aca="false">Algae_yield_cost_factor/L77</f>
        <v>0.117921611518445</v>
      </c>
      <c r="BE77" s="197" t="n">
        <f aca="false">Algae_yield_cost_factor/M77</f>
        <v>0.112582297743617</v>
      </c>
      <c r="BF77" s="197" t="n">
        <f aca="false">Algae_yield_cost_factor/N77</f>
        <v>0.109607022289979</v>
      </c>
      <c r="BG77" s="197" t="n">
        <f aca="false">Algae_yield_cost_factor/O77</f>
        <v>0.105362136926332</v>
      </c>
      <c r="BH77" s="197" t="n">
        <f aca="false">Algae_yield_cost_factor/P77</f>
        <v>0.0997285741421098</v>
      </c>
      <c r="BI77" s="197" t="n">
        <f aca="false">Algae_yield_cost_factor/Q77</f>
        <v>0.0929291214965091</v>
      </c>
      <c r="BJ77" s="197" t="n">
        <f aca="false">Algae_yield_cost_factor/R77</f>
        <v>0.085602998292114</v>
      </c>
      <c r="BK77" s="197" t="n">
        <f aca="false">Algae_yield_cost_factor/S77</f>
        <v>0.0786144076789635</v>
      </c>
      <c r="BL77" s="197" t="n">
        <f aca="false">Algae_yield_cost_factor/T77</f>
        <v>0.0726807811146141</v>
      </c>
      <c r="BM77" s="197" t="n">
        <f aca="false">Algae_yield_cost_factor/U77</f>
        <v>0.068121098254093</v>
      </c>
      <c r="BN77" s="197" t="n">
        <f aca="false">Algae_yield_cost_factor/V77</f>
        <v>0.0648785582450498</v>
      </c>
      <c r="BO77" s="197" t="n">
        <f aca="false">Algae_yield_cost_factor/W77</f>
        <v>0.0626976790315026</v>
      </c>
      <c r="BP77" s="197" t="n">
        <f aca="false">Algae_yield_cost_factor/X77</f>
        <v>0.0612853014752037</v>
      </c>
      <c r="BQ77" s="197" t="n">
        <f aca="false">Algae_yield_cost_factor/Y77</f>
        <v>0.0603928987373953</v>
      </c>
      <c r="BR77" s="197" t="n">
        <f aca="false">Algae_yield_cost_factor/Z77</f>
        <v>0.0598377953923186</v>
      </c>
      <c r="BS77" s="197" t="n">
        <f aca="false">Algae_yield_cost_factor/AA77</f>
        <v>0.0594958582584785</v>
      </c>
      <c r="BT77" s="197" t="n">
        <f aca="false">Algae_yield_cost_factor/AB77</f>
        <v>0.0592864944156796</v>
      </c>
      <c r="BU77" s="197" t="n">
        <f aca="false">Algae_yield_cost_factor/AC77</f>
        <v>0.059158776194188</v>
      </c>
    </row>
    <row r="78" customFormat="false" ht="15" hidden="false" customHeight="false" outlineLevel="0" collapsed="false">
      <c r="A78" s="18" t="s">
        <v>701</v>
      </c>
      <c r="B78" s="18" t="s">
        <v>22</v>
      </c>
      <c r="C78" s="18" t="s">
        <v>693</v>
      </c>
      <c r="D78" s="18" t="s">
        <v>693</v>
      </c>
      <c r="E78" s="28" t="n">
        <v>6.78044075</v>
      </c>
      <c r="F78" s="185" t="n">
        <f aca="false">E78/$B$2*$F$3/1000</f>
        <v>0.0166120798375</v>
      </c>
      <c r="G78" s="18" t="n">
        <f aca="false">LOOKUP(RIGHT(D78,5),Ref!$C$4:$C$21,Ref!$E$4:$E$21)*$G$3</f>
        <v>3</v>
      </c>
      <c r="H78" s="218" t="n">
        <f aca="false">$E78</f>
        <v>6.78044075</v>
      </c>
      <c r="I78" s="177" t="n">
        <f aca="false">$E78</f>
        <v>6.78044075</v>
      </c>
      <c r="J78" s="177" t="n">
        <f aca="false">$E78</f>
        <v>6.78044075</v>
      </c>
      <c r="K78" s="177" t="n">
        <f aca="false">$E78</f>
        <v>6.78044075</v>
      </c>
      <c r="L78" s="177" t="n">
        <f aca="false">$E78</f>
        <v>6.78044075</v>
      </c>
      <c r="M78" s="177" t="n">
        <f aca="false">M$3*$E78</f>
        <v>7.10200907309751</v>
      </c>
      <c r="N78" s="177" t="n">
        <f aca="false">N$3*$E78</f>
        <v>7.29479264503688</v>
      </c>
      <c r="O78" s="177" t="n">
        <f aca="false">O$3*$E78</f>
        <v>7.58868909999784</v>
      </c>
      <c r="P78" s="177" t="n">
        <f aca="false">P$3*$E78</f>
        <v>8.01736620545671</v>
      </c>
      <c r="Q78" s="177" t="n">
        <f aca="false">Q$3*$E78</f>
        <v>8.60398212282004</v>
      </c>
      <c r="R78" s="177" t="n">
        <f aca="false">R$3*$E78</f>
        <v>9.3403328855012</v>
      </c>
      <c r="S78" s="177" t="n">
        <f aca="false">S$3*$E78</f>
        <v>10.170661125</v>
      </c>
      <c r="T78" s="177" t="n">
        <f aca="false">T$3*$E78</f>
        <v>11.0009893644988</v>
      </c>
      <c r="U78" s="177" t="n">
        <f aca="false">U$3*$E78</f>
        <v>11.73734012718</v>
      </c>
      <c r="V78" s="177" t="n">
        <f aca="false">V$3*$E78</f>
        <v>12.3239560445433</v>
      </c>
      <c r="W78" s="177" t="n">
        <f aca="false">W$3*$E78</f>
        <v>12.7526331500022</v>
      </c>
      <c r="X78" s="177" t="n">
        <f aca="false">X$3*$E78</f>
        <v>13.0465296049631</v>
      </c>
      <c r="Y78" s="177" t="n">
        <f aca="false">Y$3*$E78</f>
        <v>13.2393131769025</v>
      </c>
      <c r="Z78" s="177" t="n">
        <f aca="false">Z$3*$E78</f>
        <v>13.3621316561401</v>
      </c>
      <c r="AA78" s="177" t="n">
        <f aca="false">AA$3*$E78</f>
        <v>13.438927069035</v>
      </c>
      <c r="AB78" s="177" t="n">
        <f aca="false">AB$3*$E78</f>
        <v>13.4863851864696</v>
      </c>
      <c r="AC78" s="177" t="n">
        <f aca="false">AC$3*$E78</f>
        <v>13.5155010208593</v>
      </c>
      <c r="AD78" s="219" t="n">
        <f aca="false">Algae_electricity_factor/H78</f>
        <v>0.00202694745227724</v>
      </c>
      <c r="AE78" s="220" t="n">
        <f aca="false">Algae_electricity_factor/I78</f>
        <v>0.00202694745227724</v>
      </c>
      <c r="AF78" s="220" t="n">
        <f aca="false">Algae_electricity_factor/J78</f>
        <v>0.00202694745227724</v>
      </c>
      <c r="AG78" s="220" t="n">
        <f aca="false">Algae_electricity_factor/K78</f>
        <v>0.00202694745227724</v>
      </c>
      <c r="AH78" s="220" t="n">
        <f aca="false">Algae_electricity_factor/L78</f>
        <v>0.00202694745227724</v>
      </c>
      <c r="AI78" s="220" t="n">
        <f aca="false">Algae_electricity_factor/M78</f>
        <v>0.00193517031055201</v>
      </c>
      <c r="AJ78" s="220" t="n">
        <f aca="false">Algae_electricity_factor/N78</f>
        <v>0.00188402848062857</v>
      </c>
      <c r="AK78" s="220" t="n">
        <f aca="false">Algae_electricity_factor/O78</f>
        <v>0.00181106340270722</v>
      </c>
      <c r="AL78" s="220" t="n">
        <f aca="false">Algae_electricity_factor/P78</f>
        <v>0.00171422843254624</v>
      </c>
      <c r="AM78" s="220" t="n">
        <f aca="false">Algae_electricity_factor/Q78</f>
        <v>0.00159735305203362</v>
      </c>
      <c r="AN78" s="220" t="n">
        <f aca="false">Algae_electricity_factor/R78</f>
        <v>0.001471424763122</v>
      </c>
      <c r="AO78" s="220" t="n">
        <f aca="false">Algae_electricity_factor/S78</f>
        <v>0.00135129830151816</v>
      </c>
      <c r="AP78" s="220" t="n">
        <f aca="false">Algae_electricity_factor/T78</f>
        <v>0.0012493055531788</v>
      </c>
      <c r="AQ78" s="220" t="n">
        <f aca="false">Algae_electricity_factor/U78</f>
        <v>0.00117092944011254</v>
      </c>
      <c r="AR78" s="220" t="n">
        <f aca="false">Algae_electricity_factor/V78</f>
        <v>0.00111519361590182</v>
      </c>
      <c r="AS78" s="220" t="n">
        <f aca="false">Algae_electricity_factor/W78</f>
        <v>0.00107770661492971</v>
      </c>
      <c r="AT78" s="220" t="n">
        <f aca="false">Algae_electricity_factor/X78</f>
        <v>0.00105342934248974</v>
      </c>
      <c r="AU78" s="220" t="n">
        <f aca="false">Algae_electricity_factor/Y78</f>
        <v>0.00103808988577342</v>
      </c>
      <c r="AV78" s="220" t="n">
        <f aca="false">Algae_electricity_factor/Z78</f>
        <v>0.00102854824792973</v>
      </c>
      <c r="AW78" s="220" t="n">
        <f aca="false">Algae_electricity_factor/AA78</f>
        <v>0.00102267071120553</v>
      </c>
      <c r="AX78" s="220" t="n">
        <f aca="false">Algae_electricity_factor/AB78</f>
        <v>0.00101907196876726</v>
      </c>
      <c r="AY78" s="220" t="n">
        <f aca="false">Algae_electricity_factor/AC78</f>
        <v>0.00101687662797834</v>
      </c>
      <c r="AZ78" s="221" t="n">
        <f aca="false">Algae_yield_cost_factor/H78</f>
        <v>0.112211380843674</v>
      </c>
      <c r="BA78" s="197" t="n">
        <f aca="false">Algae_yield_cost_factor/I78</f>
        <v>0.112211380843674</v>
      </c>
      <c r="BB78" s="197" t="n">
        <f aca="false">Algae_yield_cost_factor/J78</f>
        <v>0.112211380843674</v>
      </c>
      <c r="BC78" s="197" t="n">
        <f aca="false">Algae_yield_cost_factor/K78</f>
        <v>0.112211380843674</v>
      </c>
      <c r="BD78" s="197" t="n">
        <f aca="false">Algae_yield_cost_factor/L78</f>
        <v>0.112211380843674</v>
      </c>
      <c r="BE78" s="197" t="n">
        <f aca="false">Algae_yield_cost_factor/M78</f>
        <v>0.1071306177527</v>
      </c>
      <c r="BF78" s="197" t="n">
        <f aca="false">Algae_yield_cost_factor/N78</f>
        <v>0.104299416900338</v>
      </c>
      <c r="BG78" s="197" t="n">
        <f aca="false">Algae_yield_cost_factor/O78</f>
        <v>0.100260085669663</v>
      </c>
      <c r="BH78" s="197" t="n">
        <f aca="false">Algae_yield_cost_factor/P78</f>
        <v>0.0948993222697473</v>
      </c>
      <c r="BI78" s="197" t="n">
        <f aca="false">Algae_yield_cost_factor/Q78</f>
        <v>0.0884291260053019</v>
      </c>
      <c r="BJ78" s="197" t="n">
        <f aca="false">Algae_yield_cost_factor/R78</f>
        <v>0.0814577626528983</v>
      </c>
      <c r="BK78" s="197" t="n">
        <f aca="false">Algae_yield_cost_factor/S78</f>
        <v>0.0748075872291161</v>
      </c>
      <c r="BL78" s="197" t="n">
        <f aca="false">Algae_yield_cost_factor/T78</f>
        <v>0.0691612903237164</v>
      </c>
      <c r="BM78" s="197" t="n">
        <f aca="false">Algae_yield_cost_factor/U78</f>
        <v>0.0648224053356303</v>
      </c>
      <c r="BN78" s="197" t="n">
        <f aca="false">Algae_yield_cost_factor/V78</f>
        <v>0.0617368819343605</v>
      </c>
      <c r="BO78" s="197" t="n">
        <f aca="false">Algae_yield_cost_factor/W78</f>
        <v>0.0596616095152152</v>
      </c>
      <c r="BP78" s="197" t="n">
        <f aca="false">Algae_yield_cost_factor/X78</f>
        <v>0.0583176248645295</v>
      </c>
      <c r="BQ78" s="197" t="n">
        <f aca="false">Algae_yield_cost_factor/Y78</f>
        <v>0.0574684357957175</v>
      </c>
      <c r="BR78" s="197" t="n">
        <f aca="false">Algae_yield_cost_factor/Z78</f>
        <v>0.0569402127494081</v>
      </c>
      <c r="BS78" s="197" t="n">
        <f aca="false">Algae_yield_cost_factor/AA78</f>
        <v>0.0566148335635586</v>
      </c>
      <c r="BT78" s="197" t="n">
        <f aca="false">Algae_yield_cost_factor/AB78</f>
        <v>0.0564156079458225</v>
      </c>
      <c r="BU78" s="197" t="n">
        <f aca="false">Algae_yield_cost_factor/AC78</f>
        <v>0.0562940743455949</v>
      </c>
    </row>
    <row r="79" customFormat="false" ht="15" hidden="false" customHeight="false" outlineLevel="0" collapsed="false">
      <c r="A79" s="18" t="s">
        <v>701</v>
      </c>
      <c r="B79" s="18" t="s">
        <v>22</v>
      </c>
      <c r="C79" s="18" t="s">
        <v>694</v>
      </c>
      <c r="D79" s="18" t="s">
        <v>694</v>
      </c>
      <c r="E79" s="28" t="n">
        <v>6.95471</v>
      </c>
      <c r="F79" s="185" t="n">
        <f aca="false">E79/$B$2*$F$3/1000</f>
        <v>0.0170390395</v>
      </c>
      <c r="G79" s="18" t="n">
        <f aca="false">LOOKUP(RIGHT(D79,5),Ref!$C$4:$C$21,Ref!$E$4:$E$21)*$G$3</f>
        <v>3</v>
      </c>
      <c r="H79" s="218" t="n">
        <f aca="false">$E79</f>
        <v>6.95471</v>
      </c>
      <c r="I79" s="177" t="n">
        <f aca="false">$E79</f>
        <v>6.95471</v>
      </c>
      <c r="J79" s="177" t="n">
        <f aca="false">$E79</f>
        <v>6.95471</v>
      </c>
      <c r="K79" s="177" t="n">
        <f aca="false">$E79</f>
        <v>6.95471</v>
      </c>
      <c r="L79" s="177" t="n">
        <f aca="false">$E79</f>
        <v>6.95471</v>
      </c>
      <c r="M79" s="177" t="n">
        <f aca="false">M$3*$E79</f>
        <v>7.28454319444676</v>
      </c>
      <c r="N79" s="177" t="n">
        <f aca="false">N$3*$E79</f>
        <v>7.48228164317554</v>
      </c>
      <c r="O79" s="177" t="n">
        <f aca="false">O$3*$E79</f>
        <v>7.78373175381644</v>
      </c>
      <c r="P79" s="177" t="n">
        <f aca="false">P$3*$E79</f>
        <v>8.22342661467131</v>
      </c>
      <c r="Q79" s="177" t="n">
        <f aca="false">Q$3*$E79</f>
        <v>8.82511959261612</v>
      </c>
      <c r="R79" s="177" t="n">
        <f aca="false">R$3*$E79</f>
        <v>9.58039586469715</v>
      </c>
      <c r="S79" s="177" t="n">
        <f aca="false">S$3*$E79</f>
        <v>10.432065</v>
      </c>
      <c r="T79" s="177" t="n">
        <f aca="false">T$3*$E79</f>
        <v>11.2837341353029</v>
      </c>
      <c r="U79" s="177" t="n">
        <f aca="false">U$3*$E79</f>
        <v>12.0390104073839</v>
      </c>
      <c r="V79" s="177" t="n">
        <f aca="false">V$3*$E79</f>
        <v>12.6407033853287</v>
      </c>
      <c r="W79" s="177" t="n">
        <f aca="false">W$3*$E79</f>
        <v>13.0803982461836</v>
      </c>
      <c r="X79" s="177" t="n">
        <f aca="false">X$3*$E79</f>
        <v>13.3818483568245</v>
      </c>
      <c r="Y79" s="177" t="n">
        <f aca="false">Y$3*$E79</f>
        <v>13.5795868055532</v>
      </c>
      <c r="Z79" s="177" t="n">
        <f aca="false">Z$3*$E79</f>
        <v>13.7055619356712</v>
      </c>
      <c r="AA79" s="177" t="n">
        <f aca="false">AA$3*$E79</f>
        <v>13.7843311257145</v>
      </c>
      <c r="AB79" s="177" t="n">
        <f aca="false">AB$3*$E79</f>
        <v>13.8330090002176</v>
      </c>
      <c r="AC79" s="177" t="n">
        <f aca="false">AC$3*$E79</f>
        <v>13.8628731627484</v>
      </c>
      <c r="AD79" s="219" t="n">
        <f aca="false">Algae_electricity_factor/H79</f>
        <v>0.00197615674895564</v>
      </c>
      <c r="AE79" s="220" t="n">
        <f aca="false">Algae_electricity_factor/I79</f>
        <v>0.00197615674895564</v>
      </c>
      <c r="AF79" s="220" t="n">
        <f aca="false">Algae_electricity_factor/J79</f>
        <v>0.00197615674895564</v>
      </c>
      <c r="AG79" s="220" t="n">
        <f aca="false">Algae_electricity_factor/K79</f>
        <v>0.00197615674895564</v>
      </c>
      <c r="AH79" s="220" t="n">
        <f aca="false">Algae_electricity_factor/L79</f>
        <v>0.00197615674895564</v>
      </c>
      <c r="AI79" s="220" t="n">
        <f aca="false">Algae_electricity_factor/M79</f>
        <v>0.00188667933412852</v>
      </c>
      <c r="AJ79" s="220" t="n">
        <f aca="false">Algae_electricity_factor/N79</f>
        <v>0.00183681900240477</v>
      </c>
      <c r="AK79" s="220" t="n">
        <f aca="false">Algae_electricity_factor/O79</f>
        <v>0.00176568226375358</v>
      </c>
      <c r="AL79" s="220" t="n">
        <f aca="false">Algae_electricity_factor/P79</f>
        <v>0.00167127375819339</v>
      </c>
      <c r="AM79" s="220" t="n">
        <f aca="false">Algae_electricity_factor/Q79</f>
        <v>0.00155732700948646</v>
      </c>
      <c r="AN79" s="220" t="n">
        <f aca="false">Algae_electricity_factor/R79</f>
        <v>0.0014345541977209</v>
      </c>
      <c r="AO79" s="220" t="n">
        <f aca="false">Algae_electricity_factor/S79</f>
        <v>0.00131743783263709</v>
      </c>
      <c r="AP79" s="220" t="n">
        <f aca="false">Algae_electricity_factor/T79</f>
        <v>0.00121800079111492</v>
      </c>
      <c r="AQ79" s="220" t="n">
        <f aca="false">Algae_electricity_factor/U79</f>
        <v>0.00114158860558007</v>
      </c>
      <c r="AR79" s="220" t="n">
        <f aca="false">Algae_electricity_factor/V79</f>
        <v>0.00108724939464054</v>
      </c>
      <c r="AS79" s="220" t="n">
        <f aca="false">Algae_electricity_factor/W79</f>
        <v>0.00105070173284206</v>
      </c>
      <c r="AT79" s="220" t="n">
        <f aca="false">Algae_electricity_factor/X79</f>
        <v>0.00102703279375605</v>
      </c>
      <c r="AU79" s="220" t="n">
        <f aca="false">Algae_electricity_factor/Y79</f>
        <v>0.0010120777090146</v>
      </c>
      <c r="AV79" s="220" t="n">
        <f aca="false">Algae_electricity_factor/Z79</f>
        <v>0.00100277516296206</v>
      </c>
      <c r="AW79" s="220" t="n">
        <f aca="false">Algae_electricity_factor/AA79</f>
        <v>0.000997044903970038</v>
      </c>
      <c r="AX79" s="220" t="n">
        <f aca="false">Algae_electricity_factor/AB79</f>
        <v>0.000993536337850505</v>
      </c>
      <c r="AY79" s="220" t="n">
        <f aca="false">Algae_electricity_factor/AC79</f>
        <v>0.00099139600731978</v>
      </c>
      <c r="AZ79" s="221" t="n">
        <f aca="false">Algae_yield_cost_factor/H79</f>
        <v>0.109399618285481</v>
      </c>
      <c r="BA79" s="197" t="n">
        <f aca="false">Algae_yield_cost_factor/I79</f>
        <v>0.109399618285481</v>
      </c>
      <c r="BB79" s="197" t="n">
        <f aca="false">Algae_yield_cost_factor/J79</f>
        <v>0.109399618285481</v>
      </c>
      <c r="BC79" s="197" t="n">
        <f aca="false">Algae_yield_cost_factor/K79</f>
        <v>0.109399618285481</v>
      </c>
      <c r="BD79" s="197" t="n">
        <f aca="false">Algae_yield_cost_factor/L79</f>
        <v>0.109399618285481</v>
      </c>
      <c r="BE79" s="197" t="n">
        <f aca="false">Algae_yield_cost_factor/M79</f>
        <v>0.104446167587589</v>
      </c>
      <c r="BF79" s="197" t="n">
        <f aca="false">Algae_yield_cost_factor/N79</f>
        <v>0.10168591020363</v>
      </c>
      <c r="BG79" s="197" t="n">
        <f aca="false">Algae_yield_cost_factor/O79</f>
        <v>0.0977477954469807</v>
      </c>
      <c r="BH79" s="197" t="n">
        <f aca="false">Algae_yield_cost_factor/P79</f>
        <v>0.0925213606124737</v>
      </c>
      <c r="BI79" s="197" t="n">
        <f aca="false">Algae_yield_cost_factor/Q79</f>
        <v>0.0862132927833416</v>
      </c>
      <c r="BJ79" s="197" t="n">
        <f aca="false">Algae_yield_cost_factor/R79</f>
        <v>0.0794166159761572</v>
      </c>
      <c r="BK79" s="197" t="n">
        <f aca="false">Algae_yield_cost_factor/S79</f>
        <v>0.0729330788569873</v>
      </c>
      <c r="BL79" s="197" t="n">
        <f aca="false">Algae_yield_cost_factor/T79</f>
        <v>0.0674282653386708</v>
      </c>
      <c r="BM79" s="197" t="n">
        <f aca="false">Algae_yield_cost_factor/U79</f>
        <v>0.0631981029619819</v>
      </c>
      <c r="BN79" s="197" t="n">
        <f aca="false">Algae_yield_cost_factor/V79</f>
        <v>0.060189895775047</v>
      </c>
      <c r="BO79" s="197" t="n">
        <f aca="false">Algae_yield_cost_factor/W79</f>
        <v>0.0581666249732272</v>
      </c>
      <c r="BP79" s="197" t="n">
        <f aca="false">Algae_yield_cost_factor/X79</f>
        <v>0.0568563175279299</v>
      </c>
      <c r="BQ79" s="197" t="n">
        <f aca="false">Algae_yield_cost_factor/Y79</f>
        <v>0.0560284072100838</v>
      </c>
      <c r="BR79" s="197" t="n">
        <f aca="false">Algae_yield_cost_factor/Z79</f>
        <v>0.0555134202345973</v>
      </c>
      <c r="BS79" s="197" t="n">
        <f aca="false">Algae_yield_cost_factor/AA79</f>
        <v>0.0551961943127493</v>
      </c>
      <c r="BT79" s="197" t="n">
        <f aca="false">Algae_yield_cost_factor/AB79</f>
        <v>0.055001960836883</v>
      </c>
      <c r="BU79" s="197" t="n">
        <f aca="false">Algae_yield_cost_factor/AC79</f>
        <v>0.0548834725928761</v>
      </c>
    </row>
    <row r="80" customFormat="false" ht="15" hidden="false" customHeight="false" outlineLevel="0" collapsed="false">
      <c r="A80" s="18" t="s">
        <v>701</v>
      </c>
      <c r="B80" s="18" t="s">
        <v>22</v>
      </c>
      <c r="C80" s="18" t="s">
        <v>682</v>
      </c>
      <c r="D80" s="18" t="s">
        <v>682</v>
      </c>
      <c r="E80" s="28" t="n">
        <v>6.896383</v>
      </c>
      <c r="F80" s="185" t="n">
        <f aca="false">E80/$B$2*$F$3/1000</f>
        <v>0.01689613835</v>
      </c>
      <c r="G80" s="18" t="n">
        <f aca="false">LOOKUP(RIGHT(D80,5),Ref!$C$4:$C$21,Ref!$E$4:$E$21)*$G$3</f>
        <v>3</v>
      </c>
      <c r="H80" s="218" t="n">
        <f aca="false">$E80</f>
        <v>6.896383</v>
      </c>
      <c r="I80" s="177" t="n">
        <f aca="false">$E80</f>
        <v>6.896383</v>
      </c>
      <c r="J80" s="177" t="n">
        <f aca="false">$E80</f>
        <v>6.896383</v>
      </c>
      <c r="K80" s="177" t="n">
        <f aca="false">$E80</f>
        <v>6.896383</v>
      </c>
      <c r="L80" s="177" t="n">
        <f aca="false">$E80</f>
        <v>6.896383</v>
      </c>
      <c r="M80" s="177" t="n">
        <f aca="false">M$3*$E80</f>
        <v>7.22344998554193</v>
      </c>
      <c r="N80" s="177" t="n">
        <f aca="false">N$3*$E80</f>
        <v>7.41953006310944</v>
      </c>
      <c r="O80" s="177" t="n">
        <f aca="false">O$3*$E80</f>
        <v>7.71845200498366</v>
      </c>
      <c r="P80" s="177" t="n">
        <f aca="false">P$3*$E80</f>
        <v>8.15445928114425</v>
      </c>
      <c r="Q80" s="177" t="n">
        <f aca="false">Q$3*$E80</f>
        <v>8.75110604633187</v>
      </c>
      <c r="R80" s="177" t="n">
        <f aca="false">R$3*$E80</f>
        <v>9.50004805010816</v>
      </c>
      <c r="S80" s="177" t="n">
        <f aca="false">S$3*$E80</f>
        <v>10.3445745</v>
      </c>
      <c r="T80" s="177" t="n">
        <f aca="false">T$3*$E80</f>
        <v>11.1891009498918</v>
      </c>
      <c r="U80" s="177" t="n">
        <f aca="false">U$3*$E80</f>
        <v>11.9380429536681</v>
      </c>
      <c r="V80" s="177" t="n">
        <f aca="false">V$3*$E80</f>
        <v>12.5346897188558</v>
      </c>
      <c r="W80" s="177" t="n">
        <f aca="false">W$3*$E80</f>
        <v>12.9706969950163</v>
      </c>
      <c r="X80" s="177" t="n">
        <f aca="false">X$3*$E80</f>
        <v>13.2696189368906</v>
      </c>
      <c r="Y80" s="177" t="n">
        <f aca="false">Y$3*$E80</f>
        <v>13.4656990144581</v>
      </c>
      <c r="Z80" s="177" t="n">
        <f aca="false">Z$3*$E80</f>
        <v>13.5906176301543</v>
      </c>
      <c r="AA80" s="177" t="n">
        <f aca="false">AA$3*$E80</f>
        <v>13.668726207383</v>
      </c>
      <c r="AB80" s="177" t="n">
        <f aca="false">AB$3*$E80</f>
        <v>13.7169958356204</v>
      </c>
      <c r="AC80" s="177" t="n">
        <f aca="false">AC$3*$E80</f>
        <v>13.7466095366642</v>
      </c>
      <c r="AD80" s="219" t="n">
        <f aca="false">Algae_electricity_factor/H80</f>
        <v>0.0019928703355845</v>
      </c>
      <c r="AE80" s="220" t="n">
        <f aca="false">Algae_electricity_factor/I80</f>
        <v>0.0019928703355845</v>
      </c>
      <c r="AF80" s="220" t="n">
        <f aca="false">Algae_electricity_factor/J80</f>
        <v>0.0019928703355845</v>
      </c>
      <c r="AG80" s="220" t="n">
        <f aca="false">Algae_electricity_factor/K80</f>
        <v>0.0019928703355845</v>
      </c>
      <c r="AH80" s="220" t="n">
        <f aca="false">Algae_electricity_factor/L80</f>
        <v>0.0019928703355845</v>
      </c>
      <c r="AI80" s="220" t="n">
        <f aca="false">Algae_electricity_factor/M80</f>
        <v>0.00190263615461278</v>
      </c>
      <c r="AJ80" s="220" t="n">
        <f aca="false">Algae_electricity_factor/N80</f>
        <v>0.00185235412305473</v>
      </c>
      <c r="AK80" s="220" t="n">
        <f aca="false">Algae_electricity_factor/O80</f>
        <v>0.0017806157367637</v>
      </c>
      <c r="AL80" s="220" t="n">
        <f aca="false">Algae_electricity_factor/P80</f>
        <v>0.00168540875975785</v>
      </c>
      <c r="AM80" s="220" t="n">
        <f aca="false">Algae_electricity_factor/Q80</f>
        <v>0.00157049829253184</v>
      </c>
      <c r="AN80" s="220" t="n">
        <f aca="false">Algae_electricity_factor/R80</f>
        <v>0.00144668711474283</v>
      </c>
      <c r="AO80" s="220" t="n">
        <f aca="false">Algae_electricity_factor/S80</f>
        <v>0.001328580223723</v>
      </c>
      <c r="AP80" s="220" t="n">
        <f aca="false">Algae_electricity_factor/T80</f>
        <v>0.00122830218129921</v>
      </c>
      <c r="AQ80" s="220" t="n">
        <f aca="false">Algae_electricity_factor/U80</f>
        <v>0.00115124373038936</v>
      </c>
      <c r="AR80" s="220" t="n">
        <f aca="false">Algae_electricity_factor/V80</f>
        <v>0.00109644493894851</v>
      </c>
      <c r="AS80" s="220" t="n">
        <f aca="false">Algae_electricity_factor/W80</f>
        <v>0.00105958817084463</v>
      </c>
      <c r="AT80" s="220" t="n">
        <f aca="false">Algae_electricity_factor/X80</f>
        <v>0.00103571904882069</v>
      </c>
      <c r="AU80" s="220" t="n">
        <f aca="false">Algae_electricity_factor/Y80</f>
        <v>0.00102063747962678</v>
      </c>
      <c r="AV80" s="220" t="n">
        <f aca="false">Algae_electricity_factor/Z80</f>
        <v>0.00101125625615686</v>
      </c>
      <c r="AW80" s="220" t="n">
        <f aca="false">Algae_electricity_factor/AA80</f>
        <v>0.00100547753280081</v>
      </c>
      <c r="AX80" s="220" t="n">
        <f aca="false">Algae_electricity_factor/AB80</f>
        <v>0.00100193929255557</v>
      </c>
      <c r="AY80" s="220" t="n">
        <f aca="false">Algae_electricity_factor/AC80</f>
        <v>0.000999780859918445</v>
      </c>
      <c r="AZ80" s="221" t="n">
        <f aca="false">Algae_yield_cost_factor/H80</f>
        <v>0.110324878894664</v>
      </c>
      <c r="BA80" s="197" t="n">
        <f aca="false">Algae_yield_cost_factor/I80</f>
        <v>0.110324878894664</v>
      </c>
      <c r="BB80" s="197" t="n">
        <f aca="false">Algae_yield_cost_factor/J80</f>
        <v>0.110324878894664</v>
      </c>
      <c r="BC80" s="197" t="n">
        <f aca="false">Algae_yield_cost_factor/K80</f>
        <v>0.110324878894664</v>
      </c>
      <c r="BD80" s="197" t="n">
        <f aca="false">Algae_yield_cost_factor/L80</f>
        <v>0.110324878894664</v>
      </c>
      <c r="BE80" s="197" t="n">
        <f aca="false">Algae_yield_cost_factor/M80</f>
        <v>0.105329533783591</v>
      </c>
      <c r="BF80" s="197" t="n">
        <f aca="false">Algae_yield_cost_factor/N80</f>
        <v>0.102545931186288</v>
      </c>
      <c r="BG80" s="197" t="n">
        <f aca="false">Algae_yield_cost_factor/O80</f>
        <v>0.0985745093439664</v>
      </c>
      <c r="BH80" s="197" t="n">
        <f aca="false">Algae_yield_cost_factor/P80</f>
        <v>0.093303871299662</v>
      </c>
      <c r="BI80" s="197" t="n">
        <f aca="false">Algae_yield_cost_factor/Q80</f>
        <v>0.0869424522178124</v>
      </c>
      <c r="BJ80" s="197" t="n">
        <f aca="false">Algae_yield_cost_factor/R80</f>
        <v>0.0800882916879094</v>
      </c>
      <c r="BK80" s="197" t="n">
        <f aca="false">Algae_yield_cost_factor/S80</f>
        <v>0.0735499192631092</v>
      </c>
      <c r="BL80" s="197" t="n">
        <f aca="false">Algae_yield_cost_factor/T80</f>
        <v>0.0679985481133381</v>
      </c>
      <c r="BM80" s="197" t="n">
        <f aca="false">Algae_yield_cost_factor/U80</f>
        <v>0.0637326086226251</v>
      </c>
      <c r="BN80" s="197" t="n">
        <f aca="false">Algae_yield_cost_factor/V80</f>
        <v>0.0606989591566589</v>
      </c>
      <c r="BO80" s="197" t="n">
        <f aca="false">Algae_yield_cost_factor/W80</f>
        <v>0.0586585762953642</v>
      </c>
      <c r="BP80" s="197" t="n">
        <f aca="false">Algae_yield_cost_factor/X80</f>
        <v>0.0573371867651012</v>
      </c>
      <c r="BQ80" s="197" t="n">
        <f aca="false">Algae_yield_cost_factor/Y80</f>
        <v>0.0565022742948067</v>
      </c>
      <c r="BR80" s="197" t="n">
        <f aca="false">Algae_yield_cost_factor/Z80</f>
        <v>0.05598293175419</v>
      </c>
      <c r="BS80" s="197" t="n">
        <f aca="false">Algae_yield_cost_factor/AA80</f>
        <v>0.0556630228554331</v>
      </c>
      <c r="BT80" s="197" t="n">
        <f aca="false">Algae_yield_cost_factor/AB80</f>
        <v>0.0554671466262646</v>
      </c>
      <c r="BU80" s="197" t="n">
        <f aca="false">Algae_yield_cost_factor/AC80</f>
        <v>0.0553476562534884</v>
      </c>
    </row>
    <row r="81" customFormat="false" ht="15" hidden="false" customHeight="false" outlineLevel="0" collapsed="false">
      <c r="A81" s="18" t="s">
        <v>701</v>
      </c>
      <c r="B81" s="18" t="s">
        <v>22</v>
      </c>
      <c r="C81" s="18" t="s">
        <v>688</v>
      </c>
      <c r="D81" s="18" t="s">
        <v>688</v>
      </c>
      <c r="E81" s="28" t="n">
        <v>6.9640175</v>
      </c>
      <c r="F81" s="185" t="n">
        <f aca="false">E81/$B$2*$F$3/1000</f>
        <v>0.017061842875</v>
      </c>
      <c r="G81" s="18" t="n">
        <f aca="false">LOOKUP(RIGHT(D81,5),Ref!$C$4:$C$21,Ref!$E$4:$E$21)*$G$3</f>
        <v>4.5</v>
      </c>
      <c r="H81" s="218" t="n">
        <f aca="false">$E81</f>
        <v>6.9640175</v>
      </c>
      <c r="I81" s="177" t="n">
        <f aca="false">$E81</f>
        <v>6.9640175</v>
      </c>
      <c r="J81" s="177" t="n">
        <f aca="false">$E81</f>
        <v>6.9640175</v>
      </c>
      <c r="K81" s="177" t="n">
        <f aca="false">$E81</f>
        <v>6.9640175</v>
      </c>
      <c r="L81" s="177" t="n">
        <f aca="false">$E81</f>
        <v>6.9640175</v>
      </c>
      <c r="M81" s="177" t="n">
        <f aca="false">M$3*$E81</f>
        <v>7.29429211076136</v>
      </c>
      <c r="N81" s="177" t="n">
        <f aca="false">N$3*$E81</f>
        <v>7.49229519318609</v>
      </c>
      <c r="O81" s="177" t="n">
        <f aca="false">O$3*$E81</f>
        <v>7.79414873501316</v>
      </c>
      <c r="P81" s="177" t="n">
        <f aca="false">P$3*$E81</f>
        <v>8.23443204023413</v>
      </c>
      <c r="Q81" s="177" t="n">
        <f aca="false">Q$3*$E81</f>
        <v>8.83693026489552</v>
      </c>
      <c r="R81" s="177" t="n">
        <f aca="false">R$3*$E81</f>
        <v>9.59321732447199</v>
      </c>
      <c r="S81" s="177" t="n">
        <f aca="false">S$3*$E81</f>
        <v>10.44602625</v>
      </c>
      <c r="T81" s="177" t="n">
        <f aca="false">T$3*$E81</f>
        <v>11.298835175528</v>
      </c>
      <c r="U81" s="177" t="n">
        <f aca="false">U$3*$E81</f>
        <v>12.0551222351045</v>
      </c>
      <c r="V81" s="177" t="n">
        <f aca="false">V$3*$E81</f>
        <v>12.6576204597659</v>
      </c>
      <c r="W81" s="177" t="n">
        <f aca="false">W$3*$E81</f>
        <v>13.0979037649868</v>
      </c>
      <c r="X81" s="177" t="n">
        <f aca="false">X$3*$E81</f>
        <v>13.3997573068139</v>
      </c>
      <c r="Y81" s="177" t="n">
        <f aca="false">Y$3*$E81</f>
        <v>13.5977603892386</v>
      </c>
      <c r="Z81" s="177" t="n">
        <f aca="false">Z$3*$E81</f>
        <v>13.7239041120835</v>
      </c>
      <c r="AA81" s="177" t="n">
        <f aca="false">AA$3*$E81</f>
        <v>13.8027787190653</v>
      </c>
      <c r="AB81" s="177" t="n">
        <f aca="false">AB$3*$E81</f>
        <v>13.8515217392491</v>
      </c>
      <c r="AC81" s="177" t="n">
        <f aca="false">AC$3*$E81</f>
        <v>13.8814258690384</v>
      </c>
      <c r="AD81" s="219" t="n">
        <f aca="false">Algae_electricity_factor/H81</f>
        <v>0.0019735155897482</v>
      </c>
      <c r="AE81" s="220" t="n">
        <f aca="false">Algae_electricity_factor/I81</f>
        <v>0.0019735155897482</v>
      </c>
      <c r="AF81" s="220" t="n">
        <f aca="false">Algae_electricity_factor/J81</f>
        <v>0.0019735155897482</v>
      </c>
      <c r="AG81" s="220" t="n">
        <f aca="false">Algae_electricity_factor/K81</f>
        <v>0.0019735155897482</v>
      </c>
      <c r="AH81" s="220" t="n">
        <f aca="false">Algae_electricity_factor/L81</f>
        <v>0.0019735155897482</v>
      </c>
      <c r="AI81" s="220" t="n">
        <f aca="false">Algae_electricity_factor/M81</f>
        <v>0.00188415776265022</v>
      </c>
      <c r="AJ81" s="220" t="n">
        <f aca="false">Algae_electricity_factor/N81</f>
        <v>0.00183436406990857</v>
      </c>
      <c r="AK81" s="220" t="n">
        <f aca="false">Algae_electricity_factor/O81</f>
        <v>0.00176332240643417</v>
      </c>
      <c r="AL81" s="220" t="n">
        <f aca="false">Algae_electricity_factor/P81</f>
        <v>0.00166904007907004</v>
      </c>
      <c r="AM81" s="220" t="n">
        <f aca="false">Algae_electricity_factor/Q81</f>
        <v>0.00155524562167536</v>
      </c>
      <c r="AN81" s="220" t="n">
        <f aca="false">Algae_electricity_factor/R81</f>
        <v>0.00143263689737016</v>
      </c>
      <c r="AO81" s="220" t="n">
        <f aca="false">Algae_electricity_factor/S81</f>
        <v>0.00131567705983213</v>
      </c>
      <c r="AP81" s="220" t="n">
        <f aca="false">Algae_electricity_factor/T81</f>
        <v>0.00121637291720976</v>
      </c>
      <c r="AQ81" s="220" t="n">
        <f aca="false">Algae_electricity_factor/U81</f>
        <v>0.0011400628575551</v>
      </c>
      <c r="AR81" s="220" t="n">
        <f aca="false">Algae_electricity_factor/V81</f>
        <v>0.00108579627167802</v>
      </c>
      <c r="AS81" s="220" t="n">
        <f aca="false">Algae_electricity_factor/W81</f>
        <v>0.00104929745630507</v>
      </c>
      <c r="AT81" s="220" t="n">
        <f aca="false">Algae_electricity_factor/X81</f>
        <v>0.00102566015106412</v>
      </c>
      <c r="AU81" s="220" t="n">
        <f aca="false">Algae_electricity_factor/Y81</f>
        <v>0.00101072505398801</v>
      </c>
      <c r="AV81" s="220" t="n">
        <f aca="false">Algae_electricity_factor/Z81</f>
        <v>0.0010014349409093</v>
      </c>
      <c r="AW81" s="220" t="n">
        <f aca="false">Algae_electricity_factor/AA81</f>
        <v>0.000995712340482984</v>
      </c>
      <c r="AX81" s="220" t="n">
        <f aca="false">Algae_electricity_factor/AB81</f>
        <v>0.000992208463607722</v>
      </c>
      <c r="AY81" s="220" t="n">
        <f aca="false">Algae_electricity_factor/AC81</f>
        <v>0.000990070993656599</v>
      </c>
      <c r="AZ81" s="221" t="n">
        <f aca="false">Algae_yield_cost_factor/H81</f>
        <v>0.109253404272206</v>
      </c>
      <c r="BA81" s="197" t="n">
        <f aca="false">Algae_yield_cost_factor/I81</f>
        <v>0.109253404272206</v>
      </c>
      <c r="BB81" s="197" t="n">
        <f aca="false">Algae_yield_cost_factor/J81</f>
        <v>0.109253404272206</v>
      </c>
      <c r="BC81" s="197" t="n">
        <f aca="false">Algae_yield_cost_factor/K81</f>
        <v>0.109253404272206</v>
      </c>
      <c r="BD81" s="197" t="n">
        <f aca="false">Algae_yield_cost_factor/L81</f>
        <v>0.109253404272206</v>
      </c>
      <c r="BE81" s="197" t="n">
        <f aca="false">Algae_yield_cost_factor/M81</f>
        <v>0.104306573925623</v>
      </c>
      <c r="BF81" s="197" t="n">
        <f aca="false">Algae_yield_cost_factor/N81</f>
        <v>0.101550005661572</v>
      </c>
      <c r="BG81" s="197" t="n">
        <f aca="false">Algae_yield_cost_factor/O81</f>
        <v>0.0976171542465353</v>
      </c>
      <c r="BH81" s="197" t="n">
        <f aca="false">Algae_yield_cost_factor/P81</f>
        <v>0.0923977046101876</v>
      </c>
      <c r="BI81" s="197" t="n">
        <f aca="false">Algae_yield_cost_factor/Q81</f>
        <v>0.0860980675957856</v>
      </c>
      <c r="BJ81" s="197" t="n">
        <f aca="false">Algae_yield_cost_factor/R81</f>
        <v>0.0793104746355878</v>
      </c>
      <c r="BK81" s="197" t="n">
        <f aca="false">Algae_yield_cost_factor/S81</f>
        <v>0.0728356028481374</v>
      </c>
      <c r="BL81" s="197" t="n">
        <f aca="false">Algae_yield_cost_factor/T81</f>
        <v>0.0673381465847131</v>
      </c>
      <c r="BM81" s="197" t="n">
        <f aca="false">Algae_yield_cost_factor/U81</f>
        <v>0.0631136378750807</v>
      </c>
      <c r="BN81" s="197" t="n">
        <f aca="false">Algae_yield_cost_factor/V81</f>
        <v>0.060109451196192</v>
      </c>
      <c r="BO81" s="197" t="n">
        <f aca="false">Algae_yield_cost_factor/W81</f>
        <v>0.0580888845221243</v>
      </c>
      <c r="BP81" s="197" t="n">
        <f aca="false">Algae_yield_cost_factor/X81</f>
        <v>0.0567803283197765</v>
      </c>
      <c r="BQ81" s="197" t="n">
        <f aca="false">Algae_yield_cost_factor/Y81</f>
        <v>0.0559535245148424</v>
      </c>
      <c r="BR81" s="197" t="n">
        <f aca="false">Algae_yield_cost_factor/Z81</f>
        <v>0.0554392258261494</v>
      </c>
      <c r="BS81" s="197" t="n">
        <f aca="false">Algae_yield_cost_factor/AA81</f>
        <v>0.0551224238808734</v>
      </c>
      <c r="BT81" s="197" t="n">
        <f aca="false">Algae_yield_cost_factor/AB81</f>
        <v>0.0549284500005749</v>
      </c>
      <c r="BU81" s="197" t="n">
        <f aca="false">Algae_yield_cost_factor/AC81</f>
        <v>0.0548101201176478</v>
      </c>
    </row>
    <row r="82" customFormat="false" ht="15" hidden="false" customHeight="false" outlineLevel="0" collapsed="false">
      <c r="A82" s="18" t="s">
        <v>702</v>
      </c>
      <c r="B82" s="18" t="s">
        <v>22</v>
      </c>
      <c r="C82" s="18" t="s">
        <v>683</v>
      </c>
      <c r="D82" s="18" t="s">
        <v>683</v>
      </c>
      <c r="E82" s="28" t="n">
        <v>5.28204275</v>
      </c>
      <c r="F82" s="185" t="n">
        <f aca="false">E82/$B$2*$F$3/1000</f>
        <v>0.0129410047375</v>
      </c>
      <c r="G82" s="18" t="n">
        <f aca="false">LOOKUP(RIGHT(D82,5),Ref!$C$4:$C$21,Ref!$E$4:$E$21)*$G$3</f>
        <v>3</v>
      </c>
      <c r="H82" s="218" t="n">
        <f aca="false">$E82</f>
        <v>5.28204275</v>
      </c>
      <c r="I82" s="177" t="n">
        <f aca="false">$E82</f>
        <v>5.28204275</v>
      </c>
      <c r="J82" s="177" t="n">
        <f aca="false">$E82</f>
        <v>5.28204275</v>
      </c>
      <c r="K82" s="177" t="n">
        <f aca="false">$E82</f>
        <v>5.28204275</v>
      </c>
      <c r="L82" s="177" t="n">
        <f aca="false">$E82</f>
        <v>5.28204275</v>
      </c>
      <c r="M82" s="177" t="n">
        <f aca="false">M$3*$E82</f>
        <v>5.53254823957999</v>
      </c>
      <c r="N82" s="177" t="n">
        <f aca="false">N$3*$E82</f>
        <v>5.6827288998094</v>
      </c>
      <c r="O82" s="177" t="n">
        <f aca="false">O$3*$E82</f>
        <v>5.91167768004574</v>
      </c>
      <c r="P82" s="177" t="n">
        <f aca="false">P$3*$E82</f>
        <v>6.24562216543632</v>
      </c>
      <c r="Q82" s="177" t="n">
        <f aca="false">Q$3*$E82</f>
        <v>6.70260283492208</v>
      </c>
      <c r="R82" s="177" t="n">
        <f aca="false">R$3*$E82</f>
        <v>7.2762287024554</v>
      </c>
      <c r="S82" s="177" t="n">
        <f aca="false">S$3*$E82</f>
        <v>7.923064125</v>
      </c>
      <c r="T82" s="177" t="n">
        <f aca="false">T$3*$E82</f>
        <v>8.5698995475446</v>
      </c>
      <c r="U82" s="177" t="n">
        <f aca="false">U$3*$E82</f>
        <v>9.14352541507792</v>
      </c>
      <c r="V82" s="177" t="n">
        <f aca="false">V$3*$E82</f>
        <v>9.60050608456368</v>
      </c>
      <c r="W82" s="177" t="n">
        <f aca="false">W$3*$E82</f>
        <v>9.93445056995426</v>
      </c>
      <c r="X82" s="177" t="n">
        <f aca="false">X$3*$E82</f>
        <v>10.1633993501906</v>
      </c>
      <c r="Y82" s="177" t="n">
        <f aca="false">Y$3*$E82</f>
        <v>10.31358001042</v>
      </c>
      <c r="Z82" s="177" t="n">
        <f aca="false">Z$3*$E82</f>
        <v>10.4092570440735</v>
      </c>
      <c r="AA82" s="177" t="n">
        <f aca="false">AA$3*$E82</f>
        <v>10.4690815700698</v>
      </c>
      <c r="AB82" s="177" t="n">
        <f aca="false">AB$3*$E82</f>
        <v>10.5060519993334</v>
      </c>
      <c r="AC82" s="177" t="n">
        <f aca="false">AC$3*$E82</f>
        <v>10.5287335752986</v>
      </c>
      <c r="AD82" s="219" t="n">
        <f aca="false">Algae_electricity_factor/H82</f>
        <v>0.00260194734386223</v>
      </c>
      <c r="AE82" s="220" t="n">
        <f aca="false">Algae_electricity_factor/I82</f>
        <v>0.00260194734386223</v>
      </c>
      <c r="AF82" s="220" t="n">
        <f aca="false">Algae_electricity_factor/J82</f>
        <v>0.00260194734386223</v>
      </c>
      <c r="AG82" s="220" t="n">
        <f aca="false">Algae_electricity_factor/K82</f>
        <v>0.00260194734386223</v>
      </c>
      <c r="AH82" s="220" t="n">
        <f aca="false">Algae_electricity_factor/L82</f>
        <v>0.00260194734386223</v>
      </c>
      <c r="AI82" s="220" t="n">
        <f aca="false">Algae_electricity_factor/M82</f>
        <v>0.00248413506911828</v>
      </c>
      <c r="AJ82" s="220" t="n">
        <f aca="false">Algae_electricity_factor/N82</f>
        <v>0.00241848543997765</v>
      </c>
      <c r="AK82" s="220" t="n">
        <f aca="false">Algae_electricity_factor/O82</f>
        <v>0.00232482179296063</v>
      </c>
      <c r="AL82" s="220" t="n">
        <f aca="false">Algae_electricity_factor/P82</f>
        <v>0.002200516896393</v>
      </c>
      <c r="AM82" s="220" t="n">
        <f aca="false">Algae_electricity_factor/Q82</f>
        <v>0.00205048657096643</v>
      </c>
      <c r="AN82" s="220" t="n">
        <f aca="false">Algae_electricity_factor/R82</f>
        <v>0.00188883522845996</v>
      </c>
      <c r="AO82" s="220" t="n">
        <f aca="false">Algae_electricity_factor/S82</f>
        <v>0.00173463156257482</v>
      </c>
      <c r="AP82" s="220" t="n">
        <f aca="false">Algae_electricity_factor/T82</f>
        <v>0.00160370574092283</v>
      </c>
      <c r="AQ82" s="220" t="n">
        <f aca="false">Algae_electricity_factor/U82</f>
        <v>0.0015030960684886</v>
      </c>
      <c r="AR82" s="220" t="n">
        <f aca="false">Algae_electricity_factor/V82</f>
        <v>0.00143154923110013</v>
      </c>
      <c r="AS82" s="220" t="n">
        <f aca="false">Algae_electricity_factor/W82</f>
        <v>0.00138342800205734</v>
      </c>
      <c r="AT82" s="220" t="n">
        <f aca="false">Algae_electricity_factor/X82</f>
        <v>0.00135226380760799</v>
      </c>
      <c r="AU82" s="220" t="n">
        <f aca="false">Algae_electricity_factor/Y82</f>
        <v>0.00133257288833207</v>
      </c>
      <c r="AV82" s="220" t="n">
        <f aca="false">Algae_electricity_factor/Z82</f>
        <v>0.00132032450013848</v>
      </c>
      <c r="AW82" s="220" t="n">
        <f aca="false">Algae_electricity_factor/AA82</f>
        <v>0.00131277963702385</v>
      </c>
      <c r="AX82" s="220" t="n">
        <f aca="false">Algae_electricity_factor/AB82</f>
        <v>0.00130816001142972</v>
      </c>
      <c r="AY82" s="220" t="n">
        <f aca="false">Algae_electricity_factor/AC82</f>
        <v>0.00130534190130645</v>
      </c>
      <c r="AZ82" s="221" t="n">
        <f aca="false">Algae_yield_cost_factor/H82</f>
        <v>0.144043252827936</v>
      </c>
      <c r="BA82" s="197" t="n">
        <f aca="false">Algae_yield_cost_factor/I82</f>
        <v>0.144043252827936</v>
      </c>
      <c r="BB82" s="197" t="n">
        <f aca="false">Algae_yield_cost_factor/J82</f>
        <v>0.144043252827936</v>
      </c>
      <c r="BC82" s="197" t="n">
        <f aca="false">Algae_yield_cost_factor/K82</f>
        <v>0.144043252827936</v>
      </c>
      <c r="BD82" s="197" t="n">
        <f aca="false">Algae_yield_cost_factor/L82</f>
        <v>0.144043252827936</v>
      </c>
      <c r="BE82" s="197" t="n">
        <f aca="false">Algae_yield_cost_factor/M82</f>
        <v>0.137521190297652</v>
      </c>
      <c r="BF82" s="197" t="n">
        <f aca="false">Algae_yield_cost_factor/N82</f>
        <v>0.133886840759153</v>
      </c>
      <c r="BG82" s="197" t="n">
        <f aca="false">Algae_yield_cost_factor/O82</f>
        <v>0.128701641135538</v>
      </c>
      <c r="BH82" s="197" t="n">
        <f aca="false">Algae_yield_cost_factor/P82</f>
        <v>0.121820148438817</v>
      </c>
      <c r="BI82" s="197" t="n">
        <f aca="false">Algae_yield_cost_factor/Q82</f>
        <v>0.113514501459352</v>
      </c>
      <c r="BJ82" s="197" t="n">
        <f aca="false">Algae_yield_cost_factor/R82</f>
        <v>0.104565517440301</v>
      </c>
      <c r="BK82" s="197" t="n">
        <f aca="false">Algae_yield_cost_factor/S82</f>
        <v>0.0960288352186242</v>
      </c>
      <c r="BL82" s="197" t="n">
        <f aca="false">Algae_yield_cost_factor/T82</f>
        <v>0.0887808095141804</v>
      </c>
      <c r="BM82" s="197" t="n">
        <f aca="false">Algae_yield_cost_factor/U82</f>
        <v>0.0832110793974026</v>
      </c>
      <c r="BN82" s="197" t="n">
        <f aca="false">Algae_yield_cost_factor/V82</f>
        <v>0.0792502616616795</v>
      </c>
      <c r="BO82" s="197" t="n">
        <f aca="false">Algae_yield_cost_factor/W82</f>
        <v>0.0765862806331041</v>
      </c>
      <c r="BP82" s="197" t="n">
        <f aca="false">Algae_yield_cost_factor/X82</f>
        <v>0.0748610374413704</v>
      </c>
      <c r="BQ82" s="197" t="n">
        <f aca="false">Algae_yield_cost_factor/Y82</f>
        <v>0.0737709523286311</v>
      </c>
      <c r="BR82" s="197" t="n">
        <f aca="false">Algae_yield_cost_factor/Z82</f>
        <v>0.0730928841573189</v>
      </c>
      <c r="BS82" s="197" t="n">
        <f aca="false">Algae_yield_cost_factor/AA82</f>
        <v>0.0726752021362986</v>
      </c>
      <c r="BT82" s="197" t="n">
        <f aca="false">Algae_yield_cost_factor/AB82</f>
        <v>0.0724194606436835</v>
      </c>
      <c r="BU82" s="197" t="n">
        <f aca="false">Algae_yield_cost_factor/AC82</f>
        <v>0.0722634506652566</v>
      </c>
    </row>
    <row r="83" customFormat="false" ht="15" hidden="false" customHeight="false" outlineLevel="0" collapsed="false">
      <c r="A83" s="18" t="s">
        <v>702</v>
      </c>
      <c r="B83" s="18" t="s">
        <v>22</v>
      </c>
      <c r="C83" s="18" t="s">
        <v>684</v>
      </c>
      <c r="D83" s="18" t="s">
        <v>684</v>
      </c>
      <c r="E83" s="28" t="n">
        <v>5.3152395</v>
      </c>
      <c r="F83" s="185" t="n">
        <f aca="false">E83/$B$2*$F$3/1000</f>
        <v>0.013022336775</v>
      </c>
      <c r="G83" s="18" t="n">
        <f aca="false">LOOKUP(RIGHT(D83,5),Ref!$C$4:$C$21,Ref!$E$4:$E$21)*$G$3</f>
        <v>3.5</v>
      </c>
      <c r="H83" s="218" t="n">
        <f aca="false">$E83</f>
        <v>5.3152395</v>
      </c>
      <c r="I83" s="177" t="n">
        <f aca="false">$E83</f>
        <v>5.3152395</v>
      </c>
      <c r="J83" s="177" t="n">
        <f aca="false">$E83</f>
        <v>5.3152395</v>
      </c>
      <c r="K83" s="177" t="n">
        <f aca="false">$E83</f>
        <v>5.3152395</v>
      </c>
      <c r="L83" s="177" t="n">
        <f aca="false">$E83</f>
        <v>5.3152395</v>
      </c>
      <c r="M83" s="177" t="n">
        <f aca="false">M$3*$E83</f>
        <v>5.56731937443539</v>
      </c>
      <c r="N83" s="177" t="n">
        <f aca="false">N$3*$E83</f>
        <v>5.71844389484702</v>
      </c>
      <c r="O83" s="177" t="n">
        <f aca="false">O$3*$E83</f>
        <v>5.94883157964738</v>
      </c>
      <c r="P83" s="177" t="n">
        <f aca="false">P$3*$E83</f>
        <v>6.28487484994374</v>
      </c>
      <c r="Q83" s="177" t="n">
        <f aca="false">Q$3*$E83</f>
        <v>6.74472756605194</v>
      </c>
      <c r="R83" s="177" t="n">
        <f aca="false">R$3*$E83</f>
        <v>7.32195857565232</v>
      </c>
      <c r="S83" s="177" t="n">
        <f aca="false">S$3*$E83</f>
        <v>7.97285925</v>
      </c>
      <c r="T83" s="177" t="n">
        <f aca="false">T$3*$E83</f>
        <v>8.62375992434768</v>
      </c>
      <c r="U83" s="177" t="n">
        <f aca="false">U$3*$E83</f>
        <v>9.20099093394806</v>
      </c>
      <c r="V83" s="177" t="n">
        <f aca="false">V$3*$E83</f>
        <v>9.66084365005626</v>
      </c>
      <c r="W83" s="177" t="n">
        <f aca="false">W$3*$E83</f>
        <v>9.99688692035262</v>
      </c>
      <c r="X83" s="177" t="n">
        <f aca="false">X$3*$E83</f>
        <v>10.227274605153</v>
      </c>
      <c r="Y83" s="177" t="n">
        <f aca="false">Y$3*$E83</f>
        <v>10.3783991255646</v>
      </c>
      <c r="Z83" s="177" t="n">
        <f aca="false">Z$3*$E83</f>
        <v>10.4746774732773</v>
      </c>
      <c r="AA83" s="177" t="n">
        <f aca="false">AA$3*$E83</f>
        <v>10.5348779863542</v>
      </c>
      <c r="AB83" s="177" t="n">
        <f aca="false">AB$3*$E83</f>
        <v>10.5720807685456</v>
      </c>
      <c r="AC83" s="177" t="n">
        <f aca="false">AC$3*$E83</f>
        <v>10.5949048943996</v>
      </c>
      <c r="AD83" s="219" t="n">
        <f aca="false">Algae_electricity_factor/H83</f>
        <v>0.00258569667529173</v>
      </c>
      <c r="AE83" s="220" t="n">
        <f aca="false">Algae_electricity_factor/I83</f>
        <v>0.00258569667529173</v>
      </c>
      <c r="AF83" s="220" t="n">
        <f aca="false">Algae_electricity_factor/J83</f>
        <v>0.00258569667529173</v>
      </c>
      <c r="AG83" s="220" t="n">
        <f aca="false">Algae_electricity_factor/K83</f>
        <v>0.00258569667529173</v>
      </c>
      <c r="AH83" s="220" t="n">
        <f aca="false">Algae_electricity_factor/L83</f>
        <v>0.00258569667529173</v>
      </c>
      <c r="AI83" s="220" t="n">
        <f aca="false">Algae_electricity_factor/M83</f>
        <v>0.00246862020645673</v>
      </c>
      <c r="AJ83" s="220" t="n">
        <f aca="false">Algae_electricity_factor/N83</f>
        <v>0.00240338059728344</v>
      </c>
      <c r="AK83" s="220" t="n">
        <f aca="false">Algae_electricity_factor/O83</f>
        <v>0.00231030193400498</v>
      </c>
      <c r="AL83" s="220" t="n">
        <f aca="false">Algae_electricity_factor/P83</f>
        <v>0.00218677339353103</v>
      </c>
      <c r="AM83" s="220" t="n">
        <f aca="false">Algae_electricity_factor/Q83</f>
        <v>0.00203768009440508</v>
      </c>
      <c r="AN83" s="220" t="n">
        <f aca="false">Algae_electricity_factor/R83</f>
        <v>0.0018770383581834</v>
      </c>
      <c r="AO83" s="220" t="n">
        <f aca="false">Algae_electricity_factor/S83</f>
        <v>0.00172379778352782</v>
      </c>
      <c r="AP83" s="220" t="n">
        <f aca="false">Algae_electricity_factor/T83</f>
        <v>0.0015936896694824</v>
      </c>
      <c r="AQ83" s="220" t="n">
        <f aca="false">Algae_electricity_factor/U83</f>
        <v>0.00149370836273958</v>
      </c>
      <c r="AR83" s="220" t="n">
        <f aca="false">Algae_electricity_factor/V83</f>
        <v>0.00142260837680043</v>
      </c>
      <c r="AS83" s="220" t="n">
        <f aca="false">Algae_electricity_factor/W83</f>
        <v>0.00137478769271149</v>
      </c>
      <c r="AT83" s="220" t="n">
        <f aca="false">Algae_electricity_factor/X83</f>
        <v>0.00134381813671108</v>
      </c>
      <c r="AU83" s="220" t="n">
        <f aca="false">Algae_electricity_factor/Y83</f>
        <v>0.00132425019863375</v>
      </c>
      <c r="AV83" s="220" t="n">
        <f aca="false">Algae_electricity_factor/Z83</f>
        <v>0.00131207830872039</v>
      </c>
      <c r="AW83" s="220" t="n">
        <f aca="false">Algae_electricity_factor/AA83</f>
        <v>0.00130458056764694</v>
      </c>
      <c r="AX83" s="220" t="n">
        <f aca="false">Algae_electricity_factor/AB83</f>
        <v>0.00129998979429098</v>
      </c>
      <c r="AY83" s="220" t="n">
        <f aca="false">Algae_electricity_factor/AC83</f>
        <v>0.00129718928489806</v>
      </c>
      <c r="AZ83" s="221" t="n">
        <f aca="false">Algae_yield_cost_factor/H83</f>
        <v>0.143143619264234</v>
      </c>
      <c r="BA83" s="197" t="n">
        <f aca="false">Algae_yield_cost_factor/I83</f>
        <v>0.143143619264234</v>
      </c>
      <c r="BB83" s="197" t="n">
        <f aca="false">Algae_yield_cost_factor/J83</f>
        <v>0.143143619264234</v>
      </c>
      <c r="BC83" s="197" t="n">
        <f aca="false">Algae_yield_cost_factor/K83</f>
        <v>0.143143619264234</v>
      </c>
      <c r="BD83" s="197" t="n">
        <f aca="false">Algae_yield_cost_factor/L83</f>
        <v>0.143143619264234</v>
      </c>
      <c r="BE83" s="197" t="n">
        <f aca="false">Algae_yield_cost_factor/M83</f>
        <v>0.136662290792933</v>
      </c>
      <c r="BF83" s="197" t="n">
        <f aca="false">Algae_yield_cost_factor/N83</f>
        <v>0.13305063987282</v>
      </c>
      <c r="BG83" s="197" t="n">
        <f aca="false">Algae_yield_cost_factor/O83</f>
        <v>0.12789782482484</v>
      </c>
      <c r="BH83" s="197" t="n">
        <f aca="false">Algae_yield_cost_factor/P83</f>
        <v>0.121059311036723</v>
      </c>
      <c r="BI83" s="197" t="n">
        <f aca="false">Algae_yield_cost_factor/Q83</f>
        <v>0.112805537634425</v>
      </c>
      <c r="BJ83" s="197" t="n">
        <f aca="false">Algae_yield_cost_factor/R83</f>
        <v>0.103912445205064</v>
      </c>
      <c r="BK83" s="197" t="n">
        <f aca="false">Algae_yield_cost_factor/S83</f>
        <v>0.0954290795094894</v>
      </c>
      <c r="BL83" s="197" t="n">
        <f aca="false">Algae_yield_cost_factor/T83</f>
        <v>0.0882263219246296</v>
      </c>
      <c r="BM83" s="197" t="n">
        <f aca="false">Algae_yield_cost_factor/U83</f>
        <v>0.0826913779991899</v>
      </c>
      <c r="BN83" s="197" t="n">
        <f aca="false">Algae_yield_cost_factor/V83</f>
        <v>0.0787552978648802</v>
      </c>
      <c r="BO83" s="197" t="n">
        <f aca="false">Algae_yield_cost_factor/W83</f>
        <v>0.0761079549411749</v>
      </c>
      <c r="BP83" s="197" t="n">
        <f aca="false">Algae_yield_cost_factor/X83</f>
        <v>0.0743934868926732</v>
      </c>
      <c r="BQ83" s="197" t="n">
        <f aca="false">Algae_yield_cost_factor/Y83</f>
        <v>0.0733102099929912</v>
      </c>
      <c r="BR83" s="197" t="n">
        <f aca="false">Algae_yield_cost_factor/Z83</f>
        <v>0.0726363767502398</v>
      </c>
      <c r="BS83" s="197" t="n">
        <f aca="false">Algae_yield_cost_factor/AA83</f>
        <v>0.07222130339542</v>
      </c>
      <c r="BT83" s="197" t="n">
        <f aca="false">Algae_yield_cost_factor/AB83</f>
        <v>0.0719671591565871</v>
      </c>
      <c r="BU83" s="197" t="n">
        <f aca="false">Algae_yield_cost_factor/AC83</f>
        <v>0.0718121235508581</v>
      </c>
    </row>
    <row r="84" customFormat="false" ht="15" hidden="false" customHeight="false" outlineLevel="0" collapsed="false">
      <c r="A84" s="18" t="s">
        <v>702</v>
      </c>
      <c r="B84" s="18" t="s">
        <v>22</v>
      </c>
      <c r="C84" s="18" t="s">
        <v>685</v>
      </c>
      <c r="D84" s="18" t="s">
        <v>685</v>
      </c>
      <c r="E84" s="28" t="n">
        <v>4.6656125</v>
      </c>
      <c r="F84" s="185" t="n">
        <f aca="false">E84/$B$2*$F$3/1000</f>
        <v>0.011430750625</v>
      </c>
      <c r="G84" s="18" t="n">
        <f aca="false">LOOKUP(RIGHT(D84,5),Ref!$C$4:$C$21,Ref!$E$4:$E$21)*$G$3</f>
        <v>4</v>
      </c>
      <c r="H84" s="218" t="n">
        <f aca="false">$E84</f>
        <v>4.6656125</v>
      </c>
      <c r="I84" s="177" t="n">
        <f aca="false">$E84</f>
        <v>4.6656125</v>
      </c>
      <c r="J84" s="177" t="n">
        <f aca="false">$E84</f>
        <v>4.6656125</v>
      </c>
      <c r="K84" s="177" t="n">
        <f aca="false">$E84</f>
        <v>4.6656125</v>
      </c>
      <c r="L84" s="177" t="n">
        <f aca="false">$E84</f>
        <v>4.6656125</v>
      </c>
      <c r="M84" s="177" t="n">
        <f aca="false">M$3*$E84</f>
        <v>4.88688324672067</v>
      </c>
      <c r="N84" s="177" t="n">
        <f aca="false">N$3*$E84</f>
        <v>5.01953737293436</v>
      </c>
      <c r="O84" s="177" t="n">
        <f aca="false">O$3*$E84</f>
        <v>5.22176714302292</v>
      </c>
      <c r="P84" s="177" t="n">
        <f aca="false">P$3*$E84</f>
        <v>5.51673930418998</v>
      </c>
      <c r="Q84" s="177" t="n">
        <f aca="false">Q$3*$E84</f>
        <v>5.92038895731162</v>
      </c>
      <c r="R84" s="177" t="n">
        <f aca="false">R$3*$E84</f>
        <v>6.42707096360299</v>
      </c>
      <c r="S84" s="177" t="n">
        <f aca="false">S$3*$E84</f>
        <v>6.99841875</v>
      </c>
      <c r="T84" s="177" t="n">
        <f aca="false">T$3*$E84</f>
        <v>7.56976653639701</v>
      </c>
      <c r="U84" s="177" t="n">
        <f aca="false">U$3*$E84</f>
        <v>8.07644854268838</v>
      </c>
      <c r="V84" s="177" t="n">
        <f aca="false">V$3*$E84</f>
        <v>8.48009819581002</v>
      </c>
      <c r="W84" s="177" t="n">
        <f aca="false">W$3*$E84</f>
        <v>8.77507035697708</v>
      </c>
      <c r="X84" s="177" t="n">
        <f aca="false">X$3*$E84</f>
        <v>8.97730012706564</v>
      </c>
      <c r="Y84" s="177" t="n">
        <f aca="false">Y$3*$E84</f>
        <v>9.10995425327933</v>
      </c>
      <c r="Z84" s="177" t="n">
        <f aca="false">Z$3*$E84</f>
        <v>9.19446548980359</v>
      </c>
      <c r="AA84" s="177" t="n">
        <f aca="false">AA$3*$E84</f>
        <v>9.24730831397324</v>
      </c>
      <c r="AB84" s="177" t="n">
        <f aca="false">AB$3*$E84</f>
        <v>9.27996418312592</v>
      </c>
      <c r="AC84" s="177" t="n">
        <f aca="false">AC$3*$E84</f>
        <v>9.29999875106702</v>
      </c>
      <c r="AD84" s="219" t="n">
        <f aca="false">Algae_electricity_factor/H84</f>
        <v>0.00294572193973016</v>
      </c>
      <c r="AE84" s="220" t="n">
        <f aca="false">Algae_electricity_factor/I84</f>
        <v>0.00294572193973016</v>
      </c>
      <c r="AF84" s="220" t="n">
        <f aca="false">Algae_electricity_factor/J84</f>
        <v>0.00294572193973016</v>
      </c>
      <c r="AG84" s="220" t="n">
        <f aca="false">Algae_electricity_factor/K84</f>
        <v>0.00294572193973016</v>
      </c>
      <c r="AH84" s="220" t="n">
        <f aca="false">Algae_electricity_factor/L84</f>
        <v>0.00294572193973016</v>
      </c>
      <c r="AI84" s="220" t="n">
        <f aca="false">Algae_electricity_factor/M84</f>
        <v>0.00281234406669156</v>
      </c>
      <c r="AJ84" s="220" t="n">
        <f aca="false">Algae_electricity_factor/N84</f>
        <v>0.0027380206745019</v>
      </c>
      <c r="AK84" s="220" t="n">
        <f aca="false">Algae_electricity_factor/O84</f>
        <v>0.00263198199519349</v>
      </c>
      <c r="AL84" s="220" t="n">
        <f aca="false">Algae_electricity_factor/P84</f>
        <v>0.00249125368187889</v>
      </c>
      <c r="AM84" s="220" t="n">
        <f aca="false">Algae_electricity_factor/Q84</f>
        <v>0.00232140104351692</v>
      </c>
      <c r="AN84" s="220" t="n">
        <f aca="false">Algae_electricity_factor/R84</f>
        <v>0.00213839199557004</v>
      </c>
      <c r="AO84" s="220" t="n">
        <f aca="false">Algae_electricity_factor/S84</f>
        <v>0.00196381462648677</v>
      </c>
      <c r="AP84" s="220" t="n">
        <f aca="false">Algae_electricity_factor/T84</f>
        <v>0.00181559061794669</v>
      </c>
      <c r="AQ84" s="220" t="n">
        <f aca="false">Algae_electricity_factor/U84</f>
        <v>0.00170168819016019</v>
      </c>
      <c r="AR84" s="220" t="n">
        <f aca="false">Algae_electricity_factor/V84</f>
        <v>0.00162068843852774</v>
      </c>
      <c r="AS84" s="220" t="n">
        <f aca="false">Algae_electricity_factor/W84</f>
        <v>0.00156620933444729</v>
      </c>
      <c r="AT84" s="220" t="n">
        <f aca="false">Algae_electricity_factor/X84</f>
        <v>0.00153092766299455</v>
      </c>
      <c r="AU84" s="220" t="n">
        <f aca="false">Algae_electricity_factor/Y84</f>
        <v>0.00150863513925791</v>
      </c>
      <c r="AV84" s="220" t="n">
        <f aca="false">Algae_electricity_factor/Z84</f>
        <v>0.00149476846900677</v>
      </c>
      <c r="AW84" s="220" t="n">
        <f aca="false">Algae_electricity_factor/AA84</f>
        <v>0.00148622676317192</v>
      </c>
      <c r="AX84" s="220" t="n">
        <f aca="false">Algae_electricity_factor/AB84</f>
        <v>0.0014809967832117</v>
      </c>
      <c r="AY84" s="220" t="n">
        <f aca="false">Algae_electricity_factor/AC84</f>
        <v>0.00147780633862477</v>
      </c>
      <c r="AZ84" s="221" t="n">
        <f aca="false">Algae_yield_cost_factor/H84</f>
        <v>0.163074541506869</v>
      </c>
      <c r="BA84" s="197" t="n">
        <f aca="false">Algae_yield_cost_factor/I84</f>
        <v>0.163074541506869</v>
      </c>
      <c r="BB84" s="197" t="n">
        <f aca="false">Algae_yield_cost_factor/J84</f>
        <v>0.163074541506869</v>
      </c>
      <c r="BC84" s="197" t="n">
        <f aca="false">Algae_yield_cost_factor/K84</f>
        <v>0.163074541506869</v>
      </c>
      <c r="BD84" s="197" t="n">
        <f aca="false">Algae_yield_cost_factor/L84</f>
        <v>0.163074541506869</v>
      </c>
      <c r="BE84" s="197" t="n">
        <f aca="false">Algae_yield_cost_factor/M84</f>
        <v>0.155690770757983</v>
      </c>
      <c r="BF84" s="197" t="n">
        <f aca="false">Algae_yield_cost_factor/N84</f>
        <v>0.151576243537647</v>
      </c>
      <c r="BG84" s="197" t="n">
        <f aca="false">Algae_yield_cost_factor/O84</f>
        <v>0.145705964752339</v>
      </c>
      <c r="BH84" s="197" t="n">
        <f aca="false">Algae_yield_cost_factor/P84</f>
        <v>0.137915275189523</v>
      </c>
      <c r="BI84" s="197" t="n">
        <f aca="false">Algae_yield_cost_factor/Q84</f>
        <v>0.128512269172211</v>
      </c>
      <c r="BJ84" s="197" t="n">
        <f aca="false">Algae_yield_cost_factor/R84</f>
        <v>0.118380927112044</v>
      </c>
      <c r="BK84" s="197" t="n">
        <f aca="false">Algae_yield_cost_factor/S84</f>
        <v>0.108716361004579</v>
      </c>
      <c r="BL84" s="197" t="n">
        <f aca="false">Algae_yield_cost_factor/T84</f>
        <v>0.100510711344654</v>
      </c>
      <c r="BM84" s="197" t="n">
        <f aca="false">Algae_yield_cost_factor/U84</f>
        <v>0.0942050971122709</v>
      </c>
      <c r="BN84" s="197" t="n">
        <f aca="false">Algae_yield_cost_factor/V84</f>
        <v>0.0897209680498921</v>
      </c>
      <c r="BO84" s="197" t="n">
        <f aca="false">Algae_yield_cost_factor/W84</f>
        <v>0.0867050164083607</v>
      </c>
      <c r="BP84" s="197" t="n">
        <f aca="false">Algae_yield_cost_factor/X84</f>
        <v>0.0847518305634403</v>
      </c>
      <c r="BQ84" s="197" t="n">
        <f aca="false">Algae_yield_cost_factor/Y84</f>
        <v>0.0835177211798112</v>
      </c>
      <c r="BR84" s="197" t="n">
        <f aca="false">Algae_yield_cost_factor/Z84</f>
        <v>0.0827500652571889</v>
      </c>
      <c r="BS84" s="197" t="n">
        <f aca="false">Algae_yield_cost_factor/AA84</f>
        <v>0.0822771982347056</v>
      </c>
      <c r="BT84" s="197" t="n">
        <f aca="false">Algae_yield_cost_factor/AB84</f>
        <v>0.0819876676538994</v>
      </c>
      <c r="BU84" s="197" t="n">
        <f aca="false">Algae_yield_cost_factor/AC84</f>
        <v>0.0818110453185732</v>
      </c>
    </row>
    <row r="85" customFormat="false" ht="15" hidden="false" customHeight="false" outlineLevel="0" collapsed="false">
      <c r="A85" s="18" t="s">
        <v>703</v>
      </c>
      <c r="B85" s="18" t="s">
        <v>22</v>
      </c>
      <c r="C85" s="18" t="s">
        <v>694</v>
      </c>
      <c r="D85" s="18" t="s">
        <v>694</v>
      </c>
      <c r="E85" s="28" t="n">
        <v>6.193101</v>
      </c>
      <c r="F85" s="185" t="n">
        <f aca="false">E85/$B$2*$F$3/1000</f>
        <v>0.01517309745</v>
      </c>
      <c r="G85" s="18" t="n">
        <f aca="false">LOOKUP(RIGHT(D85,5),Ref!$C$4:$C$21,Ref!$E$4:$E$21)*$G$3</f>
        <v>3</v>
      </c>
      <c r="H85" s="218" t="n">
        <f aca="false">$E85</f>
        <v>6.193101</v>
      </c>
      <c r="I85" s="177" t="n">
        <f aca="false">$E85</f>
        <v>6.193101</v>
      </c>
      <c r="J85" s="177" t="n">
        <f aca="false">$E85</f>
        <v>6.193101</v>
      </c>
      <c r="K85" s="177" t="n">
        <f aca="false">$E85</f>
        <v>6.193101</v>
      </c>
      <c r="L85" s="177" t="n">
        <f aca="false">$E85</f>
        <v>6.193101</v>
      </c>
      <c r="M85" s="177" t="n">
        <f aca="false">M$3*$E85</f>
        <v>6.48681422260186</v>
      </c>
      <c r="N85" s="177" t="n">
        <f aca="false">N$3*$E85</f>
        <v>6.66289837054774</v>
      </c>
      <c r="O85" s="177" t="n">
        <f aca="false">O$3*$E85</f>
        <v>6.9313367355781</v>
      </c>
      <c r="P85" s="177" t="n">
        <f aca="false">P$3*$E85</f>
        <v>7.32288069391067</v>
      </c>
      <c r="Q85" s="177" t="n">
        <f aca="false">Q$3*$E85</f>
        <v>7.85868238562794</v>
      </c>
      <c r="R85" s="177" t="n">
        <f aca="false">R$3*$E85</f>
        <v>8.53124849347446</v>
      </c>
      <c r="S85" s="177" t="n">
        <f aca="false">S$3*$E85</f>
        <v>9.2896515</v>
      </c>
      <c r="T85" s="177" t="n">
        <f aca="false">T$3*$E85</f>
        <v>10.0480545065255</v>
      </c>
      <c r="U85" s="177" t="n">
        <f aca="false">U$3*$E85</f>
        <v>10.7206206143721</v>
      </c>
      <c r="V85" s="177" t="n">
        <f aca="false">V$3*$E85</f>
        <v>11.2564223060893</v>
      </c>
      <c r="W85" s="177" t="n">
        <f aca="false">W$3*$E85</f>
        <v>11.6479662644219</v>
      </c>
      <c r="X85" s="177" t="n">
        <f aca="false">X$3*$E85</f>
        <v>11.9164046294523</v>
      </c>
      <c r="Y85" s="177" t="n">
        <f aca="false">Y$3*$E85</f>
        <v>12.0924887773981</v>
      </c>
      <c r="Z85" s="177" t="n">
        <f aca="false">Z$3*$E85</f>
        <v>12.2046683944215</v>
      </c>
      <c r="AA85" s="177" t="n">
        <f aca="false">AA$3*$E85</f>
        <v>12.2748115850976</v>
      </c>
      <c r="AB85" s="177" t="n">
        <f aca="false">AB$3*$E85</f>
        <v>12.3181587546075</v>
      </c>
      <c r="AC85" s="177" t="n">
        <f aca="false">AC$3*$E85</f>
        <v>12.344752498248</v>
      </c>
      <c r="AD85" s="219" t="n">
        <f aca="false">Algae_electricity_factor/H85</f>
        <v>0.00221917858331864</v>
      </c>
      <c r="AE85" s="220" t="n">
        <f aca="false">Algae_electricity_factor/I85</f>
        <v>0.00221917858331864</v>
      </c>
      <c r="AF85" s="220" t="n">
        <f aca="false">Algae_electricity_factor/J85</f>
        <v>0.00221917858331864</v>
      </c>
      <c r="AG85" s="220" t="n">
        <f aca="false">Algae_electricity_factor/K85</f>
        <v>0.00221917858331864</v>
      </c>
      <c r="AH85" s="220" t="n">
        <f aca="false">Algae_electricity_factor/L85</f>
        <v>0.00221917858331864</v>
      </c>
      <c r="AI85" s="220" t="n">
        <f aca="false">Algae_electricity_factor/M85</f>
        <v>0.0021186975041836</v>
      </c>
      <c r="AJ85" s="220" t="n">
        <f aca="false">Algae_electricity_factor/N85</f>
        <v>0.00206270549829795</v>
      </c>
      <c r="AK85" s="220" t="n">
        <f aca="false">Algae_electricity_factor/O85</f>
        <v>0.00198282057672718</v>
      </c>
      <c r="AL85" s="220" t="n">
        <f aca="false">Algae_electricity_factor/P85</f>
        <v>0.00187680199609939</v>
      </c>
      <c r="AM85" s="220" t="n">
        <f aca="false">Algae_electricity_factor/Q85</f>
        <v>0.00174884241773961</v>
      </c>
      <c r="AN85" s="220" t="n">
        <f aca="false">Algae_electricity_factor/R85</f>
        <v>0.00161097137353832</v>
      </c>
      <c r="AO85" s="220" t="n">
        <f aca="false">Algae_electricity_factor/S85</f>
        <v>0.00147945238887909</v>
      </c>
      <c r="AP85" s="220" t="n">
        <f aca="false">Algae_electricity_factor/T85</f>
        <v>0.00136778687800745</v>
      </c>
      <c r="AQ85" s="220" t="n">
        <f aca="false">Algae_electricity_factor/U85</f>
        <v>0.00128197775090601</v>
      </c>
      <c r="AR85" s="220" t="n">
        <f aca="false">Algae_electricity_factor/V85</f>
        <v>0.001220956066662</v>
      </c>
      <c r="AS85" s="220" t="n">
        <f aca="false">Algae_electricity_factor/W85</f>
        <v>0.0011799138829504</v>
      </c>
      <c r="AT85" s="220" t="n">
        <f aca="false">Algae_electricity_factor/X85</f>
        <v>0.00115333420867238</v>
      </c>
      <c r="AU85" s="220" t="n">
        <f aca="false">Algae_electricity_factor/Y85</f>
        <v>0.00113653999243044</v>
      </c>
      <c r="AV85" s="220" t="n">
        <f aca="false">Algae_electricity_factor/Z85</f>
        <v>0.00112609344714446</v>
      </c>
      <c r="AW85" s="220" t="n">
        <f aca="false">Algae_electricity_factor/AA85</f>
        <v>0.00111965849807543</v>
      </c>
      <c r="AX85" s="220" t="n">
        <f aca="false">Algae_electricity_factor/AB85</f>
        <v>0.00111571845900984</v>
      </c>
      <c r="AY85" s="220" t="n">
        <f aca="false">Algae_electricity_factor/AC85</f>
        <v>0.0011133149170451</v>
      </c>
      <c r="AZ85" s="221" t="n">
        <f aca="false">Algae_yield_cost_factor/H85</f>
        <v>0.122853255467046</v>
      </c>
      <c r="BA85" s="197" t="n">
        <f aca="false">Algae_yield_cost_factor/I85</f>
        <v>0.122853255467046</v>
      </c>
      <c r="BB85" s="197" t="n">
        <f aca="false">Algae_yield_cost_factor/J85</f>
        <v>0.122853255467046</v>
      </c>
      <c r="BC85" s="197" t="n">
        <f aca="false">Algae_yield_cost_factor/K85</f>
        <v>0.122853255467046</v>
      </c>
      <c r="BD85" s="197" t="n">
        <f aca="false">Algae_yield_cost_factor/L85</f>
        <v>0.122853255467046</v>
      </c>
      <c r="BE85" s="197" t="n">
        <f aca="false">Algae_yield_cost_factor/M85</f>
        <v>0.117290644248024</v>
      </c>
      <c r="BF85" s="197" t="n">
        <f aca="false">Algae_yield_cost_factor/N85</f>
        <v>0.114190938683591</v>
      </c>
      <c r="BG85" s="197" t="n">
        <f aca="false">Algae_yield_cost_factor/O85</f>
        <v>0.109768526376862</v>
      </c>
      <c r="BH85" s="197" t="n">
        <f aca="false">Algae_yield_cost_factor/P85</f>
        <v>0.103899360250249</v>
      </c>
      <c r="BI85" s="197" t="n">
        <f aca="false">Algae_yield_cost_factor/Q85</f>
        <v>0.0968155451450305</v>
      </c>
      <c r="BJ85" s="197" t="n">
        <f aca="false">Algae_yield_cost_factor/R85</f>
        <v>0.0891830333940202</v>
      </c>
      <c r="BK85" s="197" t="n">
        <f aca="false">Algae_yield_cost_factor/S85</f>
        <v>0.081902170311364</v>
      </c>
      <c r="BL85" s="197" t="n">
        <f aca="false">Algae_yield_cost_factor/T85</f>
        <v>0.0757203913247188</v>
      </c>
      <c r="BM85" s="197" t="n">
        <f aca="false">Algae_yield_cost_factor/U85</f>
        <v>0.0709700162569163</v>
      </c>
      <c r="BN85" s="197" t="n">
        <f aca="false">Algae_yield_cost_factor/V85</f>
        <v>0.0675918687658536</v>
      </c>
      <c r="BO85" s="197" t="n">
        <f aca="false">Algae_yield_cost_factor/W85</f>
        <v>0.0653197821846524</v>
      </c>
      <c r="BP85" s="197" t="n">
        <f aca="false">Algae_yield_cost_factor/X85</f>
        <v>0.063848337056778</v>
      </c>
      <c r="BQ85" s="197" t="n">
        <f aca="false">Algae_yield_cost_factor/Y85</f>
        <v>0.0629186128093247</v>
      </c>
      <c r="BR85" s="197" t="n">
        <f aca="false">Algae_yield_cost_factor/Z85</f>
        <v>0.0623402942790302</v>
      </c>
      <c r="BS85" s="197" t="n">
        <f aca="false">Algae_yield_cost_factor/AA85</f>
        <v>0.0619840568640525</v>
      </c>
      <c r="BT85" s="197" t="n">
        <f aca="false">Algae_yield_cost_factor/AB85</f>
        <v>0.06176593713745</v>
      </c>
      <c r="BU85" s="197" t="n">
        <f aca="false">Algae_yield_cost_factor/AC85</f>
        <v>0.0616328775643093</v>
      </c>
    </row>
    <row r="86" customFormat="false" ht="15" hidden="false" customHeight="false" outlineLevel="0" collapsed="false">
      <c r="A86" s="18" t="s">
        <v>703</v>
      </c>
      <c r="B86" s="18" t="s">
        <v>22</v>
      </c>
      <c r="C86" s="18" t="s">
        <v>682</v>
      </c>
      <c r="D86" s="18" t="s">
        <v>682</v>
      </c>
      <c r="E86" s="28" t="n">
        <v>5.56844</v>
      </c>
      <c r="F86" s="185" t="n">
        <f aca="false">E86/$B$2*$F$3/1000</f>
        <v>0.013642678</v>
      </c>
      <c r="G86" s="18" t="n">
        <f aca="false">LOOKUP(RIGHT(D86,5),Ref!$C$4:$C$21,Ref!$E$4:$E$21)*$G$3</f>
        <v>3</v>
      </c>
      <c r="H86" s="218" t="n">
        <f aca="false">$E86</f>
        <v>5.56844</v>
      </c>
      <c r="I86" s="177" t="n">
        <f aca="false">$E86</f>
        <v>5.56844</v>
      </c>
      <c r="J86" s="177" t="n">
        <f aca="false">$E86</f>
        <v>5.56844</v>
      </c>
      <c r="K86" s="177" t="n">
        <f aca="false">$E86</f>
        <v>5.56844</v>
      </c>
      <c r="L86" s="177" t="n">
        <f aca="false">$E86</f>
        <v>5.56844</v>
      </c>
      <c r="M86" s="177" t="n">
        <f aca="false">M$3*$E86</f>
        <v>5.83252812923689</v>
      </c>
      <c r="N86" s="177" t="n">
        <f aca="false">N$3*$E86</f>
        <v>5.99085172395749</v>
      </c>
      <c r="O86" s="177" t="n">
        <f aca="false">O$3*$E86</f>
        <v>6.23221431910484</v>
      </c>
      <c r="P86" s="177" t="n">
        <f aca="false">P$3*$E86</f>
        <v>6.58426558378427</v>
      </c>
      <c r="Q86" s="177" t="n">
        <f aca="false">Q$3*$E86</f>
        <v>7.06602416841354</v>
      </c>
      <c r="R86" s="177" t="n">
        <f aca="false">R$3*$E86</f>
        <v>7.67075256176235</v>
      </c>
      <c r="S86" s="177" t="n">
        <f aca="false">S$3*$E86</f>
        <v>8.35266</v>
      </c>
      <c r="T86" s="177" t="n">
        <f aca="false">T$3*$E86</f>
        <v>9.03456743823766</v>
      </c>
      <c r="U86" s="177" t="n">
        <f aca="false">U$3*$E86</f>
        <v>9.63929583158646</v>
      </c>
      <c r="V86" s="177" t="n">
        <f aca="false">V$3*$E86</f>
        <v>10.1210544162157</v>
      </c>
      <c r="W86" s="177" t="n">
        <f aca="false">W$3*$E86</f>
        <v>10.4731056808952</v>
      </c>
      <c r="X86" s="177" t="n">
        <f aca="false">X$3*$E86</f>
        <v>10.7144682760425</v>
      </c>
      <c r="Y86" s="177" t="n">
        <f aca="false">Y$3*$E86</f>
        <v>10.8727918707631</v>
      </c>
      <c r="Z86" s="177" t="n">
        <f aca="false">Z$3*$E86</f>
        <v>10.9736566017949</v>
      </c>
      <c r="AA86" s="177" t="n">
        <f aca="false">AA$3*$E86</f>
        <v>11.0367248689987</v>
      </c>
      <c r="AB86" s="177" t="n">
        <f aca="false">AB$3*$E86</f>
        <v>11.0756998691781</v>
      </c>
      <c r="AC86" s="177" t="n">
        <f aca="false">AC$3*$E86</f>
        <v>11.0996112611992</v>
      </c>
      <c r="AD86" s="219" t="n">
        <f aca="false">Algae_electricity_factor/H86</f>
        <v>0.00246812340683015</v>
      </c>
      <c r="AE86" s="220" t="n">
        <f aca="false">Algae_electricity_factor/I86</f>
        <v>0.00246812340683015</v>
      </c>
      <c r="AF86" s="220" t="n">
        <f aca="false">Algae_electricity_factor/J86</f>
        <v>0.00246812340683015</v>
      </c>
      <c r="AG86" s="220" t="n">
        <f aca="false">Algae_electricity_factor/K86</f>
        <v>0.00246812340683015</v>
      </c>
      <c r="AH86" s="220" t="n">
        <f aca="false">Algae_electricity_factor/L86</f>
        <v>0.00246812340683015</v>
      </c>
      <c r="AI86" s="220" t="n">
        <f aca="false">Algae_electricity_factor/M86</f>
        <v>0.00235637047931862</v>
      </c>
      <c r="AJ86" s="220" t="n">
        <f aca="false">Algae_electricity_factor/N86</f>
        <v>0.00229409735656926</v>
      </c>
      <c r="AK86" s="220" t="n">
        <f aca="false">Algae_electricity_factor/O86</f>
        <v>0.0022052510391689</v>
      </c>
      <c r="AL86" s="220" t="n">
        <f aca="false">Algae_electricity_factor/P86</f>
        <v>0.0020873394198097</v>
      </c>
      <c r="AM86" s="220" t="n">
        <f aca="false">Algae_electricity_factor/Q86</f>
        <v>0.00194502548759538</v>
      </c>
      <c r="AN86" s="220" t="n">
        <f aca="false">Algae_electricity_factor/R86</f>
        <v>0.00179168823304759</v>
      </c>
      <c r="AO86" s="220" t="n">
        <f aca="false">Algae_electricity_factor/S86</f>
        <v>0.00164541560455343</v>
      </c>
      <c r="AP86" s="220" t="n">
        <f aca="false">Algae_electricity_factor/T86</f>
        <v>0.00152122358900784</v>
      </c>
      <c r="AQ86" s="220" t="n">
        <f aca="false">Algae_electricity_factor/U86</f>
        <v>0.0014257884957212</v>
      </c>
      <c r="AR86" s="220" t="n">
        <f aca="false">Algae_electricity_factor/V86</f>
        <v>0.00135792147125596</v>
      </c>
      <c r="AS86" s="220" t="n">
        <f aca="false">Algae_electricity_factor/W86</f>
        <v>0.00131227522401498</v>
      </c>
      <c r="AT86" s="220" t="n">
        <f aca="false">Algae_electricity_factor/X86</f>
        <v>0.00128271387337623</v>
      </c>
      <c r="AU86" s="220" t="n">
        <f aca="false">Algae_electricity_factor/Y86</f>
        <v>0.00126403570185922</v>
      </c>
      <c r="AV86" s="220" t="n">
        <f aca="false">Algae_electricity_factor/Z86</f>
        <v>0.00125241727550334</v>
      </c>
      <c r="AW86" s="220" t="n">
        <f aca="false">Algae_electricity_factor/AA86</f>
        <v>0.00124526046147385</v>
      </c>
      <c r="AX86" s="220" t="n">
        <f aca="false">Algae_electricity_factor/AB86</f>
        <v>0.00124087843349525</v>
      </c>
      <c r="AY86" s="220" t="n">
        <f aca="false">Algae_electricity_factor/AC86</f>
        <v>0.00123820526504137</v>
      </c>
      <c r="AZ86" s="221" t="n">
        <f aca="false">Algae_yield_cost_factor/H86</f>
        <v>0.136634788071025</v>
      </c>
      <c r="BA86" s="197" t="n">
        <f aca="false">Algae_yield_cost_factor/I86</f>
        <v>0.136634788071025</v>
      </c>
      <c r="BB86" s="197" t="n">
        <f aca="false">Algae_yield_cost_factor/J86</f>
        <v>0.136634788071025</v>
      </c>
      <c r="BC86" s="197" t="n">
        <f aca="false">Algae_yield_cost_factor/K86</f>
        <v>0.136634788071025</v>
      </c>
      <c r="BD86" s="197" t="n">
        <f aca="false">Algae_yield_cost_factor/L86</f>
        <v>0.136634788071025</v>
      </c>
      <c r="BE86" s="197" t="n">
        <f aca="false">Algae_yield_cost_factor/M86</f>
        <v>0.130448169717745</v>
      </c>
      <c r="BF86" s="197" t="n">
        <f aca="false">Algae_yield_cost_factor/N86</f>
        <v>0.127000742856579</v>
      </c>
      <c r="BG86" s="197" t="n">
        <f aca="false">Algae_yield_cost_factor/O86</f>
        <v>0.122082229578315</v>
      </c>
      <c r="BH86" s="197" t="n">
        <f aca="false">Algae_yield_cost_factor/P86</f>
        <v>0.115554667351211</v>
      </c>
      <c r="BI86" s="197" t="n">
        <f aca="false">Algae_yield_cost_factor/Q86</f>
        <v>0.107676198262571</v>
      </c>
      <c r="BJ86" s="197" t="n">
        <f aca="false">Algae_yield_cost_factor/R86</f>
        <v>0.0991874803886798</v>
      </c>
      <c r="BK86" s="197" t="n">
        <f aca="false">Algae_yield_cost_factor/S86</f>
        <v>0.0910898587140166</v>
      </c>
      <c r="BL86" s="197" t="n">
        <f aca="false">Algae_yield_cost_factor/T86</f>
        <v>0.0842146150867222</v>
      </c>
      <c r="BM86" s="197" t="n">
        <f aca="false">Algae_yield_cost_factor/U86</f>
        <v>0.0789313485735188</v>
      </c>
      <c r="BN86" s="197" t="n">
        <f aca="false">Algae_yield_cost_factor/V86</f>
        <v>0.0751742445003766</v>
      </c>
      <c r="BO86" s="197" t="n">
        <f aca="false">Algae_yield_cost_factor/W86</f>
        <v>0.072647277939163</v>
      </c>
      <c r="BP86" s="197" t="n">
        <f aca="false">Algae_yield_cost_factor/X86</f>
        <v>0.0710107678406644</v>
      </c>
      <c r="BQ86" s="197" t="n">
        <f aca="false">Algae_yield_cost_factor/Y86</f>
        <v>0.0699767482289549</v>
      </c>
      <c r="BR86" s="197" t="n">
        <f aca="false">Algae_yield_cost_factor/Z86</f>
        <v>0.0693335546113016</v>
      </c>
      <c r="BS86" s="197" t="n">
        <f aca="false">Algae_yield_cost_factor/AA86</f>
        <v>0.0689373549052913</v>
      </c>
      <c r="BT86" s="197" t="n">
        <f aca="false">Algae_yield_cost_factor/AB86</f>
        <v>0.0686947667662538</v>
      </c>
      <c r="BU86" s="197" t="n">
        <f aca="false">Algae_yield_cost_factor/AC86</f>
        <v>0.0685467807278881</v>
      </c>
    </row>
    <row r="87" customFormat="false" ht="15" hidden="false" customHeight="false" outlineLevel="0" collapsed="false">
      <c r="A87" s="18" t="s">
        <v>703</v>
      </c>
      <c r="B87" s="18" t="s">
        <v>22</v>
      </c>
      <c r="C87" s="18" t="s">
        <v>683</v>
      </c>
      <c r="D87" s="18" t="s">
        <v>683</v>
      </c>
      <c r="E87" s="28" t="n">
        <v>4.66835</v>
      </c>
      <c r="F87" s="185" t="n">
        <f aca="false">E87/$B$2*$F$3/1000</f>
        <v>0.0114374575</v>
      </c>
      <c r="G87" s="18" t="n">
        <f aca="false">LOOKUP(RIGHT(D87,5),Ref!$C$4:$C$21,Ref!$E$4:$E$21)*$G$3</f>
        <v>3</v>
      </c>
      <c r="H87" s="218" t="n">
        <f aca="false">$E87</f>
        <v>4.66835</v>
      </c>
      <c r="I87" s="177" t="n">
        <f aca="false">$E87</f>
        <v>4.66835</v>
      </c>
      <c r="J87" s="177" t="n">
        <f aca="false">$E87</f>
        <v>4.66835</v>
      </c>
      <c r="K87" s="177" t="n">
        <f aca="false">$E87</f>
        <v>4.66835</v>
      </c>
      <c r="L87" s="177" t="n">
        <f aca="false">$E87</f>
        <v>4.66835</v>
      </c>
      <c r="M87" s="177" t="n">
        <f aca="false">M$3*$E87</f>
        <v>4.88975057504849</v>
      </c>
      <c r="N87" s="177" t="n">
        <f aca="false">N$3*$E87</f>
        <v>5.02248253470217</v>
      </c>
      <c r="O87" s="177" t="n">
        <f aca="false">O$3*$E87</f>
        <v>5.22483096102195</v>
      </c>
      <c r="P87" s="177" t="n">
        <f aca="false">P$3*$E87</f>
        <v>5.5199761940614</v>
      </c>
      <c r="Q87" s="177" t="n">
        <f aca="false">Q$3*$E87</f>
        <v>5.92386268445262</v>
      </c>
      <c r="R87" s="177" t="n">
        <f aca="false">R$3*$E87</f>
        <v>6.43084198118382</v>
      </c>
      <c r="S87" s="177" t="n">
        <f aca="false">S$3*$E87</f>
        <v>7.002525</v>
      </c>
      <c r="T87" s="177" t="n">
        <f aca="false">T$3*$E87</f>
        <v>7.57420801881618</v>
      </c>
      <c r="U87" s="177" t="n">
        <f aca="false">U$3*$E87</f>
        <v>8.08118731554738</v>
      </c>
      <c r="V87" s="177" t="n">
        <f aca="false">V$3*$E87</f>
        <v>8.4850738059386</v>
      </c>
      <c r="W87" s="177" t="n">
        <f aca="false">W$3*$E87</f>
        <v>8.78021903897805</v>
      </c>
      <c r="X87" s="177" t="n">
        <f aca="false">X$3*$E87</f>
        <v>8.98256746529783</v>
      </c>
      <c r="Y87" s="177" t="n">
        <f aca="false">Y$3*$E87</f>
        <v>9.11529942495151</v>
      </c>
      <c r="Z87" s="177" t="n">
        <f aca="false">Z$3*$E87</f>
        <v>9.19986024757191</v>
      </c>
      <c r="AA87" s="177" t="n">
        <f aca="false">AA$3*$E87</f>
        <v>9.25273407672347</v>
      </c>
      <c r="AB87" s="177" t="n">
        <f aca="false">AB$3*$E87</f>
        <v>9.28540910637047</v>
      </c>
      <c r="AC87" s="177" t="n">
        <f aca="false">AC$3*$E87</f>
        <v>9.30545542938762</v>
      </c>
      <c r="AD87" s="219" t="n">
        <f aca="false">Algae_electricity_factor/H87</f>
        <v>0.00294399458128231</v>
      </c>
      <c r="AE87" s="220" t="n">
        <f aca="false">Algae_electricity_factor/I87</f>
        <v>0.00294399458128231</v>
      </c>
      <c r="AF87" s="220" t="n">
        <f aca="false">Algae_electricity_factor/J87</f>
        <v>0.00294399458128231</v>
      </c>
      <c r="AG87" s="220" t="n">
        <f aca="false">Algae_electricity_factor/K87</f>
        <v>0.00294399458128231</v>
      </c>
      <c r="AH87" s="220" t="n">
        <f aca="false">Algae_electricity_factor/L87</f>
        <v>0.00294399458128231</v>
      </c>
      <c r="AI87" s="220" t="n">
        <f aca="false">Algae_electricity_factor/M87</f>
        <v>0.00281069492044448</v>
      </c>
      <c r="AJ87" s="220" t="n">
        <f aca="false">Algae_electricity_factor/N87</f>
        <v>0.00273641511116658</v>
      </c>
      <c r="AK87" s="220" t="n">
        <f aca="false">Algae_electricity_factor/O87</f>
        <v>0.00263043861247543</v>
      </c>
      <c r="AL87" s="220" t="n">
        <f aca="false">Algae_electricity_factor/P87</f>
        <v>0.00248979282162759</v>
      </c>
      <c r="AM87" s="220" t="n">
        <f aca="false">Algae_electricity_factor/Q87</f>
        <v>0.00232003978410908</v>
      </c>
      <c r="AN87" s="220" t="n">
        <f aca="false">Algae_electricity_factor/R87</f>
        <v>0.00213713805186662</v>
      </c>
      <c r="AO87" s="220" t="n">
        <f aca="false">Algae_electricity_factor/S87</f>
        <v>0.0019626630541882</v>
      </c>
      <c r="AP87" s="220" t="n">
        <f aca="false">Algae_electricity_factor/T87</f>
        <v>0.00181452596355775</v>
      </c>
      <c r="AQ87" s="220" t="n">
        <f aca="false">Algae_electricity_factor/U87</f>
        <v>0.00170069032765618</v>
      </c>
      <c r="AR87" s="220" t="n">
        <f aca="false">Algae_electricity_factor/V87</f>
        <v>0.00161973807392345</v>
      </c>
      <c r="AS87" s="220" t="n">
        <f aca="false">Algae_electricity_factor/W87</f>
        <v>0.0015652909161511</v>
      </c>
      <c r="AT87" s="220" t="n">
        <f aca="false">Algae_electricity_factor/X87</f>
        <v>0.00153002993371601</v>
      </c>
      <c r="AU87" s="220" t="n">
        <f aca="false">Algae_electricity_factor/Y87</f>
        <v>0.00150775048221769</v>
      </c>
      <c r="AV87" s="220" t="n">
        <f aca="false">Algae_electricity_factor/Z87</f>
        <v>0.00149389194332127</v>
      </c>
      <c r="AW87" s="220" t="n">
        <f aca="false">Algae_electricity_factor/AA87</f>
        <v>0.00148535524630532</v>
      </c>
      <c r="AX87" s="220" t="n">
        <f aca="false">Algae_electricity_factor/AB87</f>
        <v>0.00148012833318245</v>
      </c>
      <c r="AY87" s="220" t="n">
        <f aca="false">Algae_electricity_factor/AC87</f>
        <v>0.00147693975945826</v>
      </c>
      <c r="AZ87" s="221" t="n">
        <f aca="false">Algae_yield_cost_factor/H87</f>
        <v>0.162978915309739</v>
      </c>
      <c r="BA87" s="197" t="n">
        <f aca="false">Algae_yield_cost_factor/I87</f>
        <v>0.162978915309739</v>
      </c>
      <c r="BB87" s="197" t="n">
        <f aca="false">Algae_yield_cost_factor/J87</f>
        <v>0.162978915309739</v>
      </c>
      <c r="BC87" s="197" t="n">
        <f aca="false">Algae_yield_cost_factor/K87</f>
        <v>0.162978915309739</v>
      </c>
      <c r="BD87" s="197" t="n">
        <f aca="false">Algae_yield_cost_factor/L87</f>
        <v>0.162978915309739</v>
      </c>
      <c r="BE87" s="197" t="n">
        <f aca="false">Algae_yield_cost_factor/M87</f>
        <v>0.155599474371691</v>
      </c>
      <c r="BF87" s="197" t="n">
        <f aca="false">Algae_yield_cost_factor/N87</f>
        <v>0.151487359892101</v>
      </c>
      <c r="BG87" s="197" t="n">
        <f aca="false">Algae_yield_cost_factor/O87</f>
        <v>0.14562052341257</v>
      </c>
      <c r="BH87" s="197" t="n">
        <f aca="false">Algae_yield_cost_factor/P87</f>
        <v>0.137834402276003</v>
      </c>
      <c r="BI87" s="197" t="n">
        <f aca="false">Algae_yield_cost_factor/Q87</f>
        <v>0.128436910140249</v>
      </c>
      <c r="BJ87" s="197" t="n">
        <f aca="false">Algae_yield_cost_factor/R87</f>
        <v>0.118311509054707</v>
      </c>
      <c r="BK87" s="197" t="n">
        <f aca="false">Algae_yield_cost_factor/S87</f>
        <v>0.108652610206492</v>
      </c>
      <c r="BL87" s="197" t="n">
        <f aca="false">Algae_yield_cost_factor/T87</f>
        <v>0.100451772303599</v>
      </c>
      <c r="BM87" s="197" t="n">
        <f aca="false">Algae_yield_cost_factor/U87</f>
        <v>0.0941498556557938</v>
      </c>
      <c r="BN87" s="197" t="n">
        <f aca="false">Algae_yield_cost_factor/V87</f>
        <v>0.0896683560670637</v>
      </c>
      <c r="BO87" s="197" t="n">
        <f aca="false">Algae_yield_cost_factor/W87</f>
        <v>0.0866541729663699</v>
      </c>
      <c r="BP87" s="197" t="n">
        <f aca="false">Algae_yield_cost_factor/X87</f>
        <v>0.084702132461077</v>
      </c>
      <c r="BQ87" s="197" t="n">
        <f aca="false">Algae_yield_cost_factor/Y87</f>
        <v>0.083468746753787</v>
      </c>
      <c r="BR87" s="197" t="n">
        <f aca="false">Algae_yield_cost_factor/Z87</f>
        <v>0.0827015409812366</v>
      </c>
      <c r="BS87" s="197" t="n">
        <f aca="false">Algae_yield_cost_factor/AA87</f>
        <v>0.082228951245905</v>
      </c>
      <c r="BT87" s="197" t="n">
        <f aca="false">Algae_yield_cost_factor/AB87</f>
        <v>0.0819395904445636</v>
      </c>
      <c r="BU87" s="197" t="n">
        <f aca="false">Algae_yield_cost_factor/AC87</f>
        <v>0.0817630716798015</v>
      </c>
    </row>
    <row r="88" customFormat="false" ht="15" hidden="false" customHeight="false" outlineLevel="0" collapsed="false">
      <c r="A88" s="18" t="s">
        <v>703</v>
      </c>
      <c r="B88" s="18" t="s">
        <v>22</v>
      </c>
      <c r="C88" s="18" t="s">
        <v>684</v>
      </c>
      <c r="D88" s="18" t="s">
        <v>684</v>
      </c>
      <c r="E88" s="28" t="n">
        <v>3.87557</v>
      </c>
      <c r="F88" s="185" t="n">
        <f aca="false">E88/$B$2*$F$3/1000</f>
        <v>0.0094951465</v>
      </c>
      <c r="G88" s="18" t="n">
        <f aca="false">LOOKUP(RIGHT(D88,5),Ref!$C$4:$C$21,Ref!$E$4:$E$21)*$G$3</f>
        <v>3.5</v>
      </c>
      <c r="H88" s="218" t="n">
        <f aca="false">$E88</f>
        <v>3.87557</v>
      </c>
      <c r="I88" s="177" t="n">
        <f aca="false">$E88</f>
        <v>3.87557</v>
      </c>
      <c r="J88" s="177" t="n">
        <f aca="false">$E88</f>
        <v>3.87557</v>
      </c>
      <c r="K88" s="177" t="n">
        <f aca="false">$E88</f>
        <v>3.87557</v>
      </c>
      <c r="L88" s="177" t="n">
        <f aca="false">$E88</f>
        <v>3.87557</v>
      </c>
      <c r="M88" s="177" t="n">
        <f aca="false">M$3*$E88</f>
        <v>4.05937229131078</v>
      </c>
      <c r="N88" s="177" t="n">
        <f aca="false">N$3*$E88</f>
        <v>4.16956368674493</v>
      </c>
      <c r="O88" s="177" t="n">
        <f aca="false">O$3*$E88</f>
        <v>4.33754926850126</v>
      </c>
      <c r="P88" s="177" t="n">
        <f aca="false">P$3*$E88</f>
        <v>4.5825728872982</v>
      </c>
      <c r="Q88" s="177" t="n">
        <f aca="false">Q$3*$E88</f>
        <v>4.91787130441891</v>
      </c>
      <c r="R88" s="177" t="n">
        <f aca="false">R$3*$E88</f>
        <v>5.33875528977403</v>
      </c>
      <c r="S88" s="177" t="n">
        <f aca="false">S$3*$E88</f>
        <v>5.813355</v>
      </c>
      <c r="T88" s="177" t="n">
        <f aca="false">T$3*$E88</f>
        <v>6.28795471022597</v>
      </c>
      <c r="U88" s="177" t="n">
        <f aca="false">U$3*$E88</f>
        <v>6.70883869558109</v>
      </c>
      <c r="V88" s="177" t="n">
        <f aca="false">V$3*$E88</f>
        <v>7.0441371127018</v>
      </c>
      <c r="W88" s="177" t="n">
        <f aca="false">W$3*$E88</f>
        <v>7.28916073149874</v>
      </c>
      <c r="X88" s="177" t="n">
        <f aca="false">X$3*$E88</f>
        <v>7.45714631325507</v>
      </c>
      <c r="Y88" s="177" t="n">
        <f aca="false">Y$3*$E88</f>
        <v>7.56733770868922</v>
      </c>
      <c r="Z88" s="177" t="n">
        <f aca="false">Z$3*$E88</f>
        <v>7.63753839786697</v>
      </c>
      <c r="AA88" s="177" t="n">
        <f aca="false">AA$3*$E88</f>
        <v>7.68143318425722</v>
      </c>
      <c r="AB88" s="177" t="n">
        <f aca="false">AB$3*$E88</f>
        <v>7.70855933474915</v>
      </c>
      <c r="AC88" s="177" t="n">
        <f aca="false">AC$3*$E88</f>
        <v>7.72520138774337</v>
      </c>
      <c r="AD88" s="219" t="n">
        <f aca="false">Algae_electricity_factor/H88</f>
        <v>0.00354621309988705</v>
      </c>
      <c r="AE88" s="220" t="n">
        <f aca="false">Algae_electricity_factor/I88</f>
        <v>0.00354621309988705</v>
      </c>
      <c r="AF88" s="220" t="n">
        <f aca="false">Algae_electricity_factor/J88</f>
        <v>0.00354621309988705</v>
      </c>
      <c r="AG88" s="220" t="n">
        <f aca="false">Algae_electricity_factor/K88</f>
        <v>0.00354621309988705</v>
      </c>
      <c r="AH88" s="220" t="n">
        <f aca="false">Algae_electricity_factor/L88</f>
        <v>0.00354621309988705</v>
      </c>
      <c r="AI88" s="220" t="n">
        <f aca="false">Algae_electricity_factor/M88</f>
        <v>0.00338564588740675</v>
      </c>
      <c r="AJ88" s="220" t="n">
        <f aca="false">Algae_electricity_factor/N88</f>
        <v>0.00329617152682432</v>
      </c>
      <c r="AK88" s="220" t="n">
        <f aca="false">Algae_electricity_factor/O88</f>
        <v>0.00316851665601439</v>
      </c>
      <c r="AL88" s="220" t="n">
        <f aca="false">Algae_electricity_factor/P88</f>
        <v>0.00299910060167799</v>
      </c>
      <c r="AM88" s="220" t="n">
        <f aca="false">Algae_electricity_factor/Q88</f>
        <v>0.00279462317185488</v>
      </c>
      <c r="AN88" s="220" t="n">
        <f aca="false">Algae_electricity_factor/R88</f>
        <v>0.00257430737270428</v>
      </c>
      <c r="AO88" s="220" t="n">
        <f aca="false">Algae_electricity_factor/S88</f>
        <v>0.00236414206659137</v>
      </c>
      <c r="AP88" s="220" t="n">
        <f aca="false">Algae_electricity_factor/T88</f>
        <v>0.00218570230494477</v>
      </c>
      <c r="AQ88" s="220" t="n">
        <f aca="false">Algae_electricity_factor/U88</f>
        <v>0.00204858064519896</v>
      </c>
      <c r="AR88" s="220" t="n">
        <f aca="false">Algae_electricity_factor/V88</f>
        <v>0.00195106893628563</v>
      </c>
      <c r="AS88" s="220" t="n">
        <f aca="false">Algae_electricity_factor/W88</f>
        <v>0.0018854841606303</v>
      </c>
      <c r="AT88" s="220" t="n">
        <f aca="false">Algae_electricity_factor/X88</f>
        <v>0.0018430102516696</v>
      </c>
      <c r="AU88" s="220" t="n">
        <f aca="false">Algae_electricity_factor/Y88</f>
        <v>0.00181617335350954</v>
      </c>
      <c r="AV88" s="220" t="n">
        <f aca="false">Algae_electricity_factor/Z88</f>
        <v>0.00179947993549435</v>
      </c>
      <c r="AW88" s="220" t="n">
        <f aca="false">Algae_electricity_factor/AA88</f>
        <v>0.00178919698627285</v>
      </c>
      <c r="AX88" s="220" t="n">
        <f aca="false">Algae_electricity_factor/AB88</f>
        <v>0.00178290086470178</v>
      </c>
      <c r="AY88" s="220" t="n">
        <f aca="false">Algae_electricity_factor/AC88</f>
        <v>0.00177906004176597</v>
      </c>
      <c r="AZ88" s="221" t="n">
        <f aca="false">Algae_yield_cost_factor/H88</f>
        <v>0.196317604710073</v>
      </c>
      <c r="BA88" s="197" t="n">
        <f aca="false">Algae_yield_cost_factor/I88</f>
        <v>0.196317604710073</v>
      </c>
      <c r="BB88" s="197" t="n">
        <f aca="false">Algae_yield_cost_factor/J88</f>
        <v>0.196317604710073</v>
      </c>
      <c r="BC88" s="197" t="n">
        <f aca="false">Algae_yield_cost_factor/K88</f>
        <v>0.196317604710073</v>
      </c>
      <c r="BD88" s="197" t="n">
        <f aca="false">Algae_yield_cost_factor/L88</f>
        <v>0.196317604710073</v>
      </c>
      <c r="BE88" s="197" t="n">
        <f aca="false">Algae_yield_cost_factor/M88</f>
        <v>0.187428637899221</v>
      </c>
      <c r="BF88" s="197" t="n">
        <f aca="false">Algae_yield_cost_factor/N88</f>
        <v>0.182475356283666</v>
      </c>
      <c r="BG88" s="197" t="n">
        <f aca="false">Algae_yield_cost_factor/O88</f>
        <v>0.175408409723749</v>
      </c>
      <c r="BH88" s="197" t="n">
        <f aca="false">Algae_yield_cost_factor/P88</f>
        <v>0.166029572905451</v>
      </c>
      <c r="BI88" s="197" t="n">
        <f aca="false">Algae_yield_cost_factor/Q88</f>
        <v>0.154709745780165</v>
      </c>
      <c r="BJ88" s="197" t="n">
        <f aca="false">Algae_yield_cost_factor/R88</f>
        <v>0.142513109889781</v>
      </c>
      <c r="BK88" s="197" t="n">
        <f aca="false">Algae_yield_cost_factor/S88</f>
        <v>0.130878403140049</v>
      </c>
      <c r="BL88" s="197" t="n">
        <f aca="false">Algae_yield_cost_factor/T88</f>
        <v>0.121000015799871</v>
      </c>
      <c r="BM88" s="197" t="n">
        <f aca="false">Algae_yield_cost_factor/U88</f>
        <v>0.113408989813298</v>
      </c>
      <c r="BN88" s="197" t="n">
        <f aca="false">Algae_yield_cost_factor/V88</f>
        <v>0.108010762299656</v>
      </c>
      <c r="BO88" s="197" t="n">
        <f aca="false">Algae_yield_cost_factor/W88</f>
        <v>0.104380003036341</v>
      </c>
      <c r="BP88" s="197" t="n">
        <f aca="false">Algae_yield_cost_factor/X88</f>
        <v>0.102028656449159</v>
      </c>
      <c r="BQ88" s="197" t="n">
        <f aca="false">Algae_yield_cost_factor/Y88</f>
        <v>0.100542971461757</v>
      </c>
      <c r="BR88" s="197" t="n">
        <f aca="false">Algae_yield_cost_factor/Z88</f>
        <v>0.0996188273827478</v>
      </c>
      <c r="BS88" s="197" t="n">
        <f aca="false">Algae_yield_cost_factor/AA88</f>
        <v>0.0990495654958678</v>
      </c>
      <c r="BT88" s="197" t="n">
        <f aca="false">Algae_yield_cost_factor/AB88</f>
        <v>0.0987010135417186</v>
      </c>
      <c r="BU88" s="197" t="n">
        <f aca="false">Algae_yield_cost_factor/AC88</f>
        <v>0.0984883863990075</v>
      </c>
    </row>
    <row r="89" customFormat="false" ht="15" hidden="false" customHeight="false" outlineLevel="0" collapsed="false">
      <c r="A89" s="18" t="s">
        <v>703</v>
      </c>
      <c r="B89" s="18" t="s">
        <v>22</v>
      </c>
      <c r="C89" s="18" t="s">
        <v>685</v>
      </c>
      <c r="D89" s="18" t="s">
        <v>685</v>
      </c>
      <c r="E89" s="28" t="n">
        <v>3.917545</v>
      </c>
      <c r="F89" s="185" t="n">
        <f aca="false">E89/$B$2*$F$3/1000</f>
        <v>0.00959798525</v>
      </c>
      <c r="G89" s="18" t="n">
        <f aca="false">LOOKUP(RIGHT(D89,5),Ref!$C$4:$C$21,Ref!$E$4:$E$21)*$G$3</f>
        <v>4</v>
      </c>
      <c r="H89" s="218" t="n">
        <f aca="false">$E89</f>
        <v>3.917545</v>
      </c>
      <c r="I89" s="177" t="n">
        <f aca="false">$E89</f>
        <v>3.917545</v>
      </c>
      <c r="J89" s="177" t="n">
        <f aca="false">$E89</f>
        <v>3.917545</v>
      </c>
      <c r="K89" s="177" t="n">
        <f aca="false">$E89</f>
        <v>3.917545</v>
      </c>
      <c r="L89" s="177" t="n">
        <f aca="false">$E89</f>
        <v>3.917545</v>
      </c>
      <c r="M89" s="177" t="n">
        <f aca="false">M$3*$E89</f>
        <v>4.10333799233741</v>
      </c>
      <c r="N89" s="177" t="n">
        <f aca="false">N$3*$E89</f>
        <v>4.21472283385132</v>
      </c>
      <c r="O89" s="177" t="n">
        <f aca="false">O$3*$E89</f>
        <v>4.38452781115314</v>
      </c>
      <c r="P89" s="177" t="n">
        <f aca="false">P$3*$E89</f>
        <v>4.63220519865997</v>
      </c>
      <c r="Q89" s="177" t="n">
        <f aca="false">Q$3*$E89</f>
        <v>4.97113512058092</v>
      </c>
      <c r="R89" s="177" t="n">
        <f aca="false">R$3*$E89</f>
        <v>5.39657755934683</v>
      </c>
      <c r="S89" s="177" t="n">
        <f aca="false">S$3*$E89</f>
        <v>5.8763175</v>
      </c>
      <c r="T89" s="177" t="n">
        <f aca="false">T$3*$E89</f>
        <v>6.35605744065317</v>
      </c>
      <c r="U89" s="177" t="n">
        <f aca="false">U$3*$E89</f>
        <v>6.78149987941908</v>
      </c>
      <c r="V89" s="177" t="n">
        <f aca="false">V$3*$E89</f>
        <v>7.12042980134003</v>
      </c>
      <c r="W89" s="177" t="n">
        <f aca="false">W$3*$E89</f>
        <v>7.36810718884686</v>
      </c>
      <c r="X89" s="177" t="n">
        <f aca="false">X$3*$E89</f>
        <v>7.53791216614868</v>
      </c>
      <c r="Y89" s="177" t="n">
        <f aca="false">Y$3*$E89</f>
        <v>7.64929700766259</v>
      </c>
      <c r="Z89" s="177" t="n">
        <f aca="false">Z$3*$E89</f>
        <v>7.72025801698118</v>
      </c>
      <c r="AA89" s="177" t="n">
        <f aca="false">AA$3*$E89</f>
        <v>7.76462821309406</v>
      </c>
      <c r="AB89" s="177" t="n">
        <f aca="false">AB$3*$E89</f>
        <v>7.79204815783223</v>
      </c>
      <c r="AC89" s="177" t="n">
        <f aca="false">AC$3*$E89</f>
        <v>7.80887045532582</v>
      </c>
      <c r="AD89" s="219" t="n">
        <f aca="false">Algae_electricity_factor/H89</f>
        <v>0.00350821677952117</v>
      </c>
      <c r="AE89" s="220" t="n">
        <f aca="false">Algae_electricity_factor/I89</f>
        <v>0.00350821677952117</v>
      </c>
      <c r="AF89" s="220" t="n">
        <f aca="false">Algae_electricity_factor/J89</f>
        <v>0.00350821677952117</v>
      </c>
      <c r="AG89" s="220" t="n">
        <f aca="false">Algae_electricity_factor/K89</f>
        <v>0.00350821677952117</v>
      </c>
      <c r="AH89" s="220" t="n">
        <f aca="false">Algae_electricity_factor/L89</f>
        <v>0.00350821677952117</v>
      </c>
      <c r="AI89" s="220" t="n">
        <f aca="false">Algae_electricity_factor/M89</f>
        <v>0.00334936998346081</v>
      </c>
      <c r="AJ89" s="220" t="n">
        <f aca="false">Algae_electricity_factor/N89</f>
        <v>0.00326085430651454</v>
      </c>
      <c r="AK89" s="220" t="n">
        <f aca="false">Algae_electricity_factor/O89</f>
        <v>0.00313456720894072</v>
      </c>
      <c r="AL89" s="220" t="n">
        <f aca="false">Algae_electricity_factor/P89</f>
        <v>0.00296696638298862</v>
      </c>
      <c r="AM89" s="220" t="n">
        <f aca="false">Algae_electricity_factor/Q89</f>
        <v>0.00276467985081106</v>
      </c>
      <c r="AN89" s="220" t="n">
        <f aca="false">Algae_electricity_factor/R89</f>
        <v>0.00254672465139048</v>
      </c>
      <c r="AO89" s="220" t="n">
        <f aca="false">Algae_electricity_factor/S89</f>
        <v>0.00233881118634745</v>
      </c>
      <c r="AP89" s="220" t="n">
        <f aca="false">Algae_electricity_factor/T89</f>
        <v>0.00216228333866613</v>
      </c>
      <c r="AQ89" s="220" t="n">
        <f aca="false">Algae_electricity_factor/U89</f>
        <v>0.00202663088518798</v>
      </c>
      <c r="AR89" s="220" t="n">
        <f aca="false">Algae_electricity_factor/V89</f>
        <v>0.00193016397703167</v>
      </c>
      <c r="AS89" s="220" t="n">
        <f aca="false">Algae_electricity_factor/W89</f>
        <v>0.00186528191722469</v>
      </c>
      <c r="AT89" s="220" t="n">
        <f aca="false">Algae_electricity_factor/X89</f>
        <v>0.00182326309999327</v>
      </c>
      <c r="AU89" s="220" t="n">
        <f aca="false">Algae_electricity_factor/Y89</f>
        <v>0.00179671374895782</v>
      </c>
      <c r="AV89" s="220" t="n">
        <f aca="false">Algae_electricity_factor/Z89</f>
        <v>0.00178019919454756</v>
      </c>
      <c r="AW89" s="220" t="n">
        <f aca="false">Algae_electricity_factor/AA89</f>
        <v>0.00177002642320368</v>
      </c>
      <c r="AX89" s="220" t="n">
        <f aca="false">Algae_electricity_factor/AB89</f>
        <v>0.00176379776217307</v>
      </c>
      <c r="AY89" s="220" t="n">
        <f aca="false">Algae_electricity_factor/AC89</f>
        <v>0.00175999809218961</v>
      </c>
      <c r="AZ89" s="221" t="n">
        <f aca="false">Algae_yield_cost_factor/H89</f>
        <v>0.194214136477365</v>
      </c>
      <c r="BA89" s="197" t="n">
        <f aca="false">Algae_yield_cost_factor/I89</f>
        <v>0.194214136477365</v>
      </c>
      <c r="BB89" s="197" t="n">
        <f aca="false">Algae_yield_cost_factor/J89</f>
        <v>0.194214136477365</v>
      </c>
      <c r="BC89" s="197" t="n">
        <f aca="false">Algae_yield_cost_factor/K89</f>
        <v>0.194214136477365</v>
      </c>
      <c r="BD89" s="197" t="n">
        <f aca="false">Algae_yield_cost_factor/L89</f>
        <v>0.194214136477365</v>
      </c>
      <c r="BE89" s="197" t="n">
        <f aca="false">Algae_yield_cost_factor/M89</f>
        <v>0.185420411554451</v>
      </c>
      <c r="BF89" s="197" t="n">
        <f aca="false">Algae_yield_cost_factor/N89</f>
        <v>0.180520202461564</v>
      </c>
      <c r="BG89" s="197" t="n">
        <f aca="false">Algae_yield_cost_factor/O89</f>
        <v>0.173528975537759</v>
      </c>
      <c r="BH89" s="197" t="n">
        <f aca="false">Algae_yield_cost_factor/P89</f>
        <v>0.164250629377627</v>
      </c>
      <c r="BI89" s="197" t="n">
        <f aca="false">Algae_yield_cost_factor/Q89</f>
        <v>0.153052089881095</v>
      </c>
      <c r="BJ89" s="197" t="n">
        <f aca="false">Algae_yield_cost_factor/R89</f>
        <v>0.140986136290851</v>
      </c>
      <c r="BK89" s="197" t="n">
        <f aca="false">Algae_yield_cost_factor/S89</f>
        <v>0.12947609098491</v>
      </c>
      <c r="BL89" s="197" t="n">
        <f aca="false">Algae_yield_cost_factor/T89</f>
        <v>0.119703546796146</v>
      </c>
      <c r="BM89" s="197" t="n">
        <f aca="false">Algae_yield_cost_factor/U89</f>
        <v>0.112193855756788</v>
      </c>
      <c r="BN89" s="197" t="n">
        <f aca="false">Algae_yield_cost_factor/V89</f>
        <v>0.106853468191349</v>
      </c>
      <c r="BO89" s="197" t="n">
        <f aca="false">Algae_yield_cost_factor/W89</f>
        <v>0.103261611128284</v>
      </c>
      <c r="BP89" s="197" t="n">
        <f aca="false">Algae_yield_cost_factor/X89</f>
        <v>0.100935458322666</v>
      </c>
      <c r="BQ89" s="197" t="n">
        <f aca="false">Algae_yield_cost_factor/Y89</f>
        <v>0.0994656918830649</v>
      </c>
      <c r="BR89" s="197" t="n">
        <f aca="false">Algae_yield_cost_factor/Z89</f>
        <v>0.0985514496552703</v>
      </c>
      <c r="BS89" s="197" t="n">
        <f aca="false">Algae_yield_cost_factor/AA89</f>
        <v>0.0979882871923157</v>
      </c>
      <c r="BT89" s="197" t="n">
        <f aca="false">Algae_yield_cost_factor/AB89</f>
        <v>0.097643469839371</v>
      </c>
      <c r="BU89" s="197" t="n">
        <f aca="false">Algae_yield_cost_factor/AC89</f>
        <v>0.0974331209153695</v>
      </c>
    </row>
    <row r="90" customFormat="false" ht="15" hidden="false" customHeight="false" outlineLevel="0" collapsed="false">
      <c r="A90" s="18" t="s">
        <v>703</v>
      </c>
      <c r="B90" s="18" t="s">
        <v>22</v>
      </c>
      <c r="C90" s="18" t="s">
        <v>686</v>
      </c>
      <c r="D90" s="18" t="s">
        <v>686</v>
      </c>
      <c r="E90" s="28" t="n">
        <v>5.03919</v>
      </c>
      <c r="F90" s="185" t="n">
        <f aca="false">E90/$B$2*$F$3/1000</f>
        <v>0.0123460155</v>
      </c>
      <c r="G90" s="18" t="n">
        <f aca="false">LOOKUP(RIGHT(D90,5),Ref!$C$4:$C$21,Ref!$E$4:$E$21)*$G$3</f>
        <v>4.5</v>
      </c>
      <c r="H90" s="218" t="n">
        <f aca="false">$E90</f>
        <v>5.03919</v>
      </c>
      <c r="I90" s="177" t="n">
        <f aca="false">$E90</f>
        <v>5.03919</v>
      </c>
      <c r="J90" s="177" t="n">
        <f aca="false">$E90</f>
        <v>5.03919</v>
      </c>
      <c r="K90" s="177" t="n">
        <f aca="false">$E90</f>
        <v>5.03919</v>
      </c>
      <c r="L90" s="177" t="n">
        <f aca="false">$E90</f>
        <v>5.03919</v>
      </c>
      <c r="M90" s="177" t="n">
        <f aca="false">M$3*$E90</f>
        <v>5.27817798585766</v>
      </c>
      <c r="N90" s="177" t="n">
        <f aca="false">N$3*$E90</f>
        <v>5.42145378218125</v>
      </c>
      <c r="O90" s="177" t="n">
        <f aca="false">O$3*$E90</f>
        <v>5.63987617262463</v>
      </c>
      <c r="P90" s="177" t="n">
        <f aca="false">P$3*$E90</f>
        <v>5.95846687530975</v>
      </c>
      <c r="Q90" s="177" t="n">
        <f aca="false">Q$3*$E90</f>
        <v>6.39443692115347</v>
      </c>
      <c r="R90" s="177" t="n">
        <f aca="false">R$3*$E90</f>
        <v>6.94168916280093</v>
      </c>
      <c r="S90" s="177" t="n">
        <f aca="false">S$3*$E90</f>
        <v>7.558785</v>
      </c>
      <c r="T90" s="177" t="n">
        <f aca="false">T$3*$E90</f>
        <v>8.17588083719907</v>
      </c>
      <c r="U90" s="177" t="n">
        <f aca="false">U$3*$E90</f>
        <v>8.72313307884653</v>
      </c>
      <c r="V90" s="177" t="n">
        <f aca="false">V$3*$E90</f>
        <v>9.15910312469025</v>
      </c>
      <c r="W90" s="177" t="n">
        <f aca="false">W$3*$E90</f>
        <v>9.47769382737536</v>
      </c>
      <c r="X90" s="177" t="n">
        <f aca="false">X$3*$E90</f>
        <v>9.69611621781875</v>
      </c>
      <c r="Y90" s="177" t="n">
        <f aca="false">Y$3*$E90</f>
        <v>9.83939201414234</v>
      </c>
      <c r="Z90" s="177" t="n">
        <f aca="false">Z$3*$E90</f>
        <v>9.93067009992007</v>
      </c>
      <c r="AA90" s="177" t="n">
        <f aca="false">AA$3*$E90</f>
        <v>9.98774407062113</v>
      </c>
      <c r="AB90" s="177" t="n">
        <f aca="false">AB$3*$E90</f>
        <v>10.0230147085653</v>
      </c>
      <c r="AC90" s="177" t="n">
        <f aca="false">AC$3*$E90</f>
        <v>10.0446534525509</v>
      </c>
      <c r="AD90" s="219" t="n">
        <f aca="false">Algae_electricity_factor/H90</f>
        <v>0.0027273425101116</v>
      </c>
      <c r="AE90" s="220" t="n">
        <f aca="false">Algae_electricity_factor/I90</f>
        <v>0.0027273425101116</v>
      </c>
      <c r="AF90" s="220" t="n">
        <f aca="false">Algae_electricity_factor/J90</f>
        <v>0.0027273425101116</v>
      </c>
      <c r="AG90" s="220" t="n">
        <f aca="false">Algae_electricity_factor/K90</f>
        <v>0.0027273425101116</v>
      </c>
      <c r="AH90" s="220" t="n">
        <f aca="false">Algae_electricity_factor/L90</f>
        <v>0.0027273425101116</v>
      </c>
      <c r="AI90" s="220" t="n">
        <f aca="false">Algae_electricity_factor/M90</f>
        <v>0.00260385253023938</v>
      </c>
      <c r="AJ90" s="220" t="n">
        <f aca="false">Algae_electricity_factor/N90</f>
        <v>0.00253503906068525</v>
      </c>
      <c r="AK90" s="220" t="n">
        <f aca="false">Algae_electricity_factor/O90</f>
        <v>0.0024368614988817</v>
      </c>
      <c r="AL90" s="220" t="n">
        <f aca="false">Algae_electricity_factor/P90</f>
        <v>0.00230656599946522</v>
      </c>
      <c r="AM90" s="220" t="n">
        <f aca="false">Algae_electricity_factor/Q90</f>
        <v>0.00214930529036325</v>
      </c>
      <c r="AN90" s="220" t="n">
        <f aca="false">Algae_electricity_factor/R90</f>
        <v>0.00197986351465841</v>
      </c>
      <c r="AO90" s="220" t="n">
        <f aca="false">Algae_electricity_factor/S90</f>
        <v>0.0018182283400744</v>
      </c>
      <c r="AP90" s="220" t="n">
        <f aca="false">Algae_electricity_factor/T90</f>
        <v>0.0016809928345577</v>
      </c>
      <c r="AQ90" s="220" t="n">
        <f aca="false">Algae_electricity_factor/U90</f>
        <v>0.00157553449882099</v>
      </c>
      <c r="AR90" s="220" t="n">
        <f aca="false">Algae_electricity_factor/V90</f>
        <v>0.00150053961795458</v>
      </c>
      <c r="AS90" s="220" t="n">
        <f aca="false">Algae_electricity_factor/W90</f>
        <v>0.00145009929143652</v>
      </c>
      <c r="AT90" s="220" t="n">
        <f aca="false">Algae_electricity_factor/X90</f>
        <v>0.00141743320673822</v>
      </c>
      <c r="AU90" s="220" t="n">
        <f aca="false">Algae_electricity_factor/Y90</f>
        <v>0.001396793326638</v>
      </c>
      <c r="AV90" s="220" t="n">
        <f aca="false">Algae_electricity_factor/Z90</f>
        <v>0.0013839546541416</v>
      </c>
      <c r="AW90" s="220" t="n">
        <f aca="false">Algae_electricity_factor/AA90</f>
        <v>0.00137604618283682</v>
      </c>
      <c r="AX90" s="220" t="n">
        <f aca="false">Algae_electricity_factor/AB90</f>
        <v>0.00137120392448236</v>
      </c>
      <c r="AY90" s="220" t="n">
        <f aca="false">Algae_electricity_factor/AC90</f>
        <v>0.00136825000170006</v>
      </c>
      <c r="AZ90" s="221" t="n">
        <f aca="false">Algae_yield_cost_factor/H90</f>
        <v>0.150985102622885</v>
      </c>
      <c r="BA90" s="197" t="n">
        <f aca="false">Algae_yield_cost_factor/I90</f>
        <v>0.150985102622885</v>
      </c>
      <c r="BB90" s="197" t="n">
        <f aca="false">Algae_yield_cost_factor/J90</f>
        <v>0.150985102622885</v>
      </c>
      <c r="BC90" s="197" t="n">
        <f aca="false">Algae_yield_cost_factor/K90</f>
        <v>0.150985102622885</v>
      </c>
      <c r="BD90" s="197" t="n">
        <f aca="false">Algae_yield_cost_factor/L90</f>
        <v>0.150985102622885</v>
      </c>
      <c r="BE90" s="197" t="n">
        <f aca="false">Algae_yield_cost_factor/M90</f>
        <v>0.144148723541498</v>
      </c>
      <c r="BF90" s="197" t="n">
        <f aca="false">Algae_yield_cost_factor/N90</f>
        <v>0.140339224469069</v>
      </c>
      <c r="BG90" s="197" t="n">
        <f aca="false">Algae_yield_cost_factor/O90</f>
        <v>0.134904135480716</v>
      </c>
      <c r="BH90" s="197" t="n">
        <f aca="false">Algae_yield_cost_factor/P90</f>
        <v>0.127691004281477</v>
      </c>
      <c r="BI90" s="197" t="n">
        <f aca="false">Algae_yield_cost_factor/Q90</f>
        <v>0.118985084796016</v>
      </c>
      <c r="BJ90" s="197" t="n">
        <f aca="false">Algae_yield_cost_factor/R90</f>
        <v>0.109604824048218</v>
      </c>
      <c r="BK90" s="197" t="n">
        <f aca="false">Algae_yield_cost_factor/S90</f>
        <v>0.100656735081924</v>
      </c>
      <c r="BL90" s="197" t="n">
        <f aca="false">Algae_yield_cost_factor/T90</f>
        <v>0.0930594066176325</v>
      </c>
      <c r="BM90" s="197" t="n">
        <f aca="false">Algae_yield_cost_factor/U90</f>
        <v>0.0872212555293063</v>
      </c>
      <c r="BN90" s="197" t="n">
        <f aca="false">Algae_yield_cost_factor/V90</f>
        <v>0.0830695548383127</v>
      </c>
      <c r="BO90" s="197" t="n">
        <f aca="false">Algae_yield_cost_factor/W90</f>
        <v>0.0802771890656143</v>
      </c>
      <c r="BP90" s="197" t="n">
        <f aca="false">Algae_yield_cost_factor/X90</f>
        <v>0.0784688015483975</v>
      </c>
      <c r="BQ90" s="197" t="n">
        <f aca="false">Algae_yield_cost_factor/Y90</f>
        <v>0.0773261821657929</v>
      </c>
      <c r="BR90" s="197" t="n">
        <f aca="false">Algae_yield_cost_factor/Z90</f>
        <v>0.0766154359807342</v>
      </c>
      <c r="BS90" s="197" t="n">
        <f aca="false">Algae_yield_cost_factor/AA90</f>
        <v>0.0761776246874638</v>
      </c>
      <c r="BT90" s="197" t="n">
        <f aca="false">Algae_yield_cost_factor/AB90</f>
        <v>0.0759095582924792</v>
      </c>
      <c r="BU90" s="197" t="n">
        <f aca="false">Algae_yield_cost_factor/AC90</f>
        <v>0.0757460297540679</v>
      </c>
    </row>
    <row r="91" customFormat="false" ht="15" hidden="false" customHeight="false" outlineLevel="0" collapsed="false">
      <c r="A91" s="18" t="s">
        <v>703</v>
      </c>
      <c r="B91" s="18" t="s">
        <v>22</v>
      </c>
      <c r="C91" s="18" t="s">
        <v>687</v>
      </c>
      <c r="D91" s="18" t="s">
        <v>687</v>
      </c>
      <c r="E91" s="28" t="n">
        <v>6.21741</v>
      </c>
      <c r="F91" s="185" t="n">
        <f aca="false">E91/$B$2*$F$3/1000</f>
        <v>0.0152326545</v>
      </c>
      <c r="G91" s="18" t="n">
        <f aca="false">LOOKUP(RIGHT(D91,5),Ref!$C$4:$C$21,Ref!$E$4:$E$21)*$G$3</f>
        <v>4.5</v>
      </c>
      <c r="H91" s="218" t="n">
        <f aca="false">$E91</f>
        <v>6.21741</v>
      </c>
      <c r="I91" s="177" t="n">
        <f aca="false">$E91</f>
        <v>6.21741</v>
      </c>
      <c r="J91" s="177" t="n">
        <f aca="false">$E91</f>
        <v>6.21741</v>
      </c>
      <c r="K91" s="177" t="n">
        <f aca="false">$E91</f>
        <v>6.21741</v>
      </c>
      <c r="L91" s="177" t="n">
        <f aca="false">$E91</f>
        <v>6.21741</v>
      </c>
      <c r="M91" s="177" t="n">
        <f aca="false">M$3*$E91</f>
        <v>6.51227609815294</v>
      </c>
      <c r="N91" s="177" t="n">
        <f aca="false">N$3*$E91</f>
        <v>6.68905140704588</v>
      </c>
      <c r="O91" s="177" t="n">
        <f aca="false">O$3*$E91</f>
        <v>6.95854343940953</v>
      </c>
      <c r="P91" s="177" t="n">
        <f aca="false">P$3*$E91</f>
        <v>7.35162427596888</v>
      </c>
      <c r="Q91" s="177" t="n">
        <f aca="false">Q$3*$E91</f>
        <v>7.88952908264002</v>
      </c>
      <c r="R91" s="177" t="n">
        <f aca="false">R$3*$E91</f>
        <v>8.56473512959228</v>
      </c>
      <c r="S91" s="177" t="n">
        <f aca="false">S$3*$E91</f>
        <v>9.326115</v>
      </c>
      <c r="T91" s="177" t="n">
        <f aca="false">T$3*$E91</f>
        <v>10.0874948704077</v>
      </c>
      <c r="U91" s="177" t="n">
        <f aca="false">U$3*$E91</f>
        <v>10.76270091736</v>
      </c>
      <c r="V91" s="177" t="n">
        <f aca="false">V$3*$E91</f>
        <v>11.3006057240311</v>
      </c>
      <c r="W91" s="177" t="n">
        <f aca="false">W$3*$E91</f>
        <v>11.6936865605905</v>
      </c>
      <c r="X91" s="177" t="n">
        <f aca="false">X$3*$E91</f>
        <v>11.9631785929541</v>
      </c>
      <c r="Y91" s="177" t="n">
        <f aca="false">Y$3*$E91</f>
        <v>12.1399539018471</v>
      </c>
      <c r="Z91" s="177" t="n">
        <f aca="false">Z$3*$E91</f>
        <v>12.2525738434042</v>
      </c>
      <c r="AA91" s="177" t="n">
        <f aca="false">AA$3*$E91</f>
        <v>12.3229923583196</v>
      </c>
      <c r="AB91" s="177" t="n">
        <f aca="false">AB$3*$E91</f>
        <v>12.3665096730191</v>
      </c>
      <c r="AC91" s="177" t="n">
        <f aca="false">AC$3*$E91</f>
        <v>12.3932078017348</v>
      </c>
      <c r="AD91" s="219" t="n">
        <f aca="false">Algae_electricity_factor/H91</f>
        <v>0.00221050197807918</v>
      </c>
      <c r="AE91" s="220" t="n">
        <f aca="false">Algae_electricity_factor/I91</f>
        <v>0.00221050197807918</v>
      </c>
      <c r="AF91" s="220" t="n">
        <f aca="false">Algae_electricity_factor/J91</f>
        <v>0.00221050197807918</v>
      </c>
      <c r="AG91" s="220" t="n">
        <f aca="false">Algae_electricity_factor/K91</f>
        <v>0.00221050197807918</v>
      </c>
      <c r="AH91" s="220" t="n">
        <f aca="false">Algae_electricity_factor/L91</f>
        <v>0.00221050197807918</v>
      </c>
      <c r="AI91" s="220" t="n">
        <f aca="false">Algae_electricity_factor/M91</f>
        <v>0.00211041376262093</v>
      </c>
      <c r="AJ91" s="220" t="n">
        <f aca="false">Algae_electricity_factor/N91</f>
        <v>0.00205464067581429</v>
      </c>
      <c r="AK91" s="220" t="n">
        <f aca="false">Algae_electricity_factor/O91</f>
        <v>0.00197506809049905</v>
      </c>
      <c r="AL91" s="220" t="n">
        <f aca="false">Algae_electricity_factor/P91</f>
        <v>0.00186946402422313</v>
      </c>
      <c r="AM91" s="220" t="n">
        <f aca="false">Algae_electricity_factor/Q91</f>
        <v>0.00174200474572943</v>
      </c>
      <c r="AN91" s="220" t="n">
        <f aca="false">Algae_electricity_factor/R91</f>
        <v>0.00160467275351497</v>
      </c>
      <c r="AO91" s="220" t="n">
        <f aca="false">Algae_electricity_factor/S91</f>
        <v>0.00147366798538612</v>
      </c>
      <c r="AP91" s="220" t="n">
        <f aca="false">Algae_electricity_factor/T91</f>
        <v>0.00136243906738896</v>
      </c>
      <c r="AQ91" s="220" t="n">
        <f aca="false">Algae_electricity_factor/U91</f>
        <v>0.00127696543916418</v>
      </c>
      <c r="AR91" s="220" t="n">
        <f aca="false">Algae_electricity_factor/V91</f>
        <v>0.00121618233917347</v>
      </c>
      <c r="AS91" s="220" t="n">
        <f aca="false">Algae_electricity_factor/W91</f>
        <v>0.00117530062331646</v>
      </c>
      <c r="AT91" s="220" t="n">
        <f aca="false">Algae_electricity_factor/X91</f>
        <v>0.00114882487097733</v>
      </c>
      <c r="AU91" s="220" t="n">
        <f aca="false">Algae_electricity_factor/Y91</f>
        <v>0.00113209631722228</v>
      </c>
      <c r="AV91" s="220" t="n">
        <f aca="false">Algae_electricity_factor/Z91</f>
        <v>0.00112169061612534</v>
      </c>
      <c r="AW91" s="220" t="n">
        <f aca="false">Algae_electricity_factor/AA91</f>
        <v>0.00111528082659652</v>
      </c>
      <c r="AX91" s="220" t="n">
        <f aca="false">Algae_electricity_factor/AB91</f>
        <v>0.00111135619240364</v>
      </c>
      <c r="AY91" s="220" t="n">
        <f aca="false">Algae_electricity_factor/AC91</f>
        <v>0.00110896204787314</v>
      </c>
      <c r="AZ91" s="221" t="n">
        <f aca="false">Algae_yield_cost_factor/H91</f>
        <v>0.122372920442148</v>
      </c>
      <c r="BA91" s="197" t="n">
        <f aca="false">Algae_yield_cost_factor/I91</f>
        <v>0.122372920442148</v>
      </c>
      <c r="BB91" s="197" t="n">
        <f aca="false">Algae_yield_cost_factor/J91</f>
        <v>0.122372920442148</v>
      </c>
      <c r="BC91" s="197" t="n">
        <f aca="false">Algae_yield_cost_factor/K91</f>
        <v>0.122372920442148</v>
      </c>
      <c r="BD91" s="197" t="n">
        <f aca="false">Algae_yield_cost_factor/L91</f>
        <v>0.122372920442148</v>
      </c>
      <c r="BE91" s="197" t="n">
        <f aca="false">Algae_yield_cost_factor/M91</f>
        <v>0.116832058072908</v>
      </c>
      <c r="BF91" s="197" t="n">
        <f aca="false">Algae_yield_cost_factor/N91</f>
        <v>0.113744471822236</v>
      </c>
      <c r="BG91" s="197" t="n">
        <f aca="false">Algae_yield_cost_factor/O91</f>
        <v>0.109339350384335</v>
      </c>
      <c r="BH91" s="197" t="n">
        <f aca="false">Algae_yield_cost_factor/P91</f>
        <v>0.103493131684283</v>
      </c>
      <c r="BI91" s="197" t="n">
        <f aca="false">Algae_yield_cost_factor/Q91</f>
        <v>0.0964370130734878</v>
      </c>
      <c r="BJ91" s="197" t="n">
        <f aca="false">Algae_yield_cost_factor/R91</f>
        <v>0.0888343431260831</v>
      </c>
      <c r="BK91" s="197" t="n">
        <f aca="false">Algae_yield_cost_factor/S91</f>
        <v>0.0815819469614323</v>
      </c>
      <c r="BL91" s="197" t="n">
        <f aca="false">Algae_yield_cost_factor/T91</f>
        <v>0.0754243376636746</v>
      </c>
      <c r="BM91" s="197" t="n">
        <f aca="false">Algae_yield_cost_factor/U91</f>
        <v>0.0706925357424916</v>
      </c>
      <c r="BN91" s="197" t="n">
        <f aca="false">Algae_yield_cost_factor/V91</f>
        <v>0.0673275962250643</v>
      </c>
      <c r="BO91" s="197" t="n">
        <f aca="false">Algae_yield_cost_factor/W91</f>
        <v>0.0650643931102425</v>
      </c>
      <c r="BP91" s="197" t="n">
        <f aca="false">Algae_yield_cost_factor/X91</f>
        <v>0.0635987010788526</v>
      </c>
      <c r="BQ91" s="197" t="n">
        <f aca="false">Algae_yield_cost_factor/Y91</f>
        <v>0.0626726118927402</v>
      </c>
      <c r="BR91" s="197" t="n">
        <f aca="false">Algae_yield_cost_factor/Z91</f>
        <v>0.0620965544880836</v>
      </c>
      <c r="BS91" s="197" t="n">
        <f aca="false">Algae_yield_cost_factor/AA91</f>
        <v>0.0617417098999134</v>
      </c>
      <c r="BT91" s="197" t="n">
        <f aca="false">Algae_yield_cost_factor/AB91</f>
        <v>0.0615244429837953</v>
      </c>
      <c r="BU91" s="197" t="n">
        <f aca="false">Algae_yield_cost_factor/AC91</f>
        <v>0.06139190365062</v>
      </c>
    </row>
    <row r="92" customFormat="false" ht="15" hidden="false" customHeight="false" outlineLevel="0" collapsed="false">
      <c r="A92" s="18" t="s">
        <v>703</v>
      </c>
      <c r="B92" s="18" t="s">
        <v>22</v>
      </c>
      <c r="C92" s="18" t="s">
        <v>688</v>
      </c>
      <c r="D92" s="18" t="s">
        <v>688</v>
      </c>
      <c r="E92" s="28" t="n">
        <v>5.08968775</v>
      </c>
      <c r="F92" s="185" t="n">
        <f aca="false">E92/$B$2*$F$3/1000</f>
        <v>0.0124697349875</v>
      </c>
      <c r="G92" s="18" t="n">
        <f aca="false">LOOKUP(RIGHT(D92,5),Ref!$C$4:$C$21,Ref!$E$4:$E$21)*$G$3</f>
        <v>4.5</v>
      </c>
      <c r="H92" s="218" t="n">
        <f aca="false">$E92</f>
        <v>5.08968775</v>
      </c>
      <c r="I92" s="177" t="n">
        <f aca="false">$E92</f>
        <v>5.08968775</v>
      </c>
      <c r="J92" s="177" t="n">
        <f aca="false">$E92</f>
        <v>5.08968775</v>
      </c>
      <c r="K92" s="177" t="n">
        <f aca="false">$E92</f>
        <v>5.08968775</v>
      </c>
      <c r="L92" s="177" t="n">
        <f aca="false">$E92</f>
        <v>5.08968775</v>
      </c>
      <c r="M92" s="177" t="n">
        <f aca="false">M$3*$E92</f>
        <v>5.33107063574492</v>
      </c>
      <c r="N92" s="177" t="n">
        <f aca="false">N$3*$E92</f>
        <v>5.47578219959142</v>
      </c>
      <c r="O92" s="177" t="n">
        <f aca="false">O$3*$E92</f>
        <v>5.69639340198018</v>
      </c>
      <c r="P92" s="177" t="n">
        <f aca="false">P$3*$E92</f>
        <v>6.01817670380455</v>
      </c>
      <c r="Q92" s="177" t="n">
        <f aca="false">Q$3*$E92</f>
        <v>6.45851560781445</v>
      </c>
      <c r="R92" s="177" t="n">
        <f aca="false">R$3*$E92</f>
        <v>7.01125186710873</v>
      </c>
      <c r="S92" s="177" t="n">
        <f aca="false">S$3*$E92</f>
        <v>7.634531625</v>
      </c>
      <c r="T92" s="177" t="n">
        <f aca="false">T$3*$E92</f>
        <v>8.25781138289127</v>
      </c>
      <c r="U92" s="177" t="n">
        <f aca="false">U$3*$E92</f>
        <v>8.81054764218555</v>
      </c>
      <c r="V92" s="177" t="n">
        <f aca="false">V$3*$E92</f>
        <v>9.25088654619545</v>
      </c>
      <c r="W92" s="177" t="n">
        <f aca="false">W$3*$E92</f>
        <v>9.57266984801982</v>
      </c>
      <c r="X92" s="177" t="n">
        <f aca="false">X$3*$E92</f>
        <v>9.79328105040858</v>
      </c>
      <c r="Y92" s="177" t="n">
        <f aca="false">Y$3*$E92</f>
        <v>9.93799261425509</v>
      </c>
      <c r="Z92" s="177" t="n">
        <f aca="false">Z$3*$E92</f>
        <v>10.0301853982196</v>
      </c>
      <c r="AA92" s="177" t="n">
        <f aca="false">AA$3*$E92</f>
        <v>10.087831307487</v>
      </c>
      <c r="AB92" s="177" t="n">
        <f aca="false">AB$3*$E92</f>
        <v>10.1234553926831</v>
      </c>
      <c r="AC92" s="177" t="n">
        <f aca="false">AC$3*$E92</f>
        <v>10.1453109786381</v>
      </c>
      <c r="AD92" s="219" t="n">
        <f aca="false">Algae_electricity_factor/H92</f>
        <v>0.002700282960095</v>
      </c>
      <c r="AE92" s="220" t="n">
        <f aca="false">Algae_electricity_factor/I92</f>
        <v>0.002700282960095</v>
      </c>
      <c r="AF92" s="220" t="n">
        <f aca="false">Algae_electricity_factor/J92</f>
        <v>0.002700282960095</v>
      </c>
      <c r="AG92" s="220" t="n">
        <f aca="false">Algae_electricity_factor/K92</f>
        <v>0.002700282960095</v>
      </c>
      <c r="AH92" s="220" t="n">
        <f aca="false">Algae_electricity_factor/L92</f>
        <v>0.002700282960095</v>
      </c>
      <c r="AI92" s="220" t="n">
        <f aca="false">Algae_electricity_factor/M92</f>
        <v>0.00257801819607833</v>
      </c>
      <c r="AJ92" s="220" t="n">
        <f aca="false">Algae_electricity_factor/N92</f>
        <v>0.00250988746494606</v>
      </c>
      <c r="AK92" s="220" t="n">
        <f aca="false">Algae_electricity_factor/O92</f>
        <v>0.00241268397978828</v>
      </c>
      <c r="AL92" s="220" t="n">
        <f aca="false">Algae_electricity_factor/P92</f>
        <v>0.00228368121774173</v>
      </c>
      <c r="AM92" s="220" t="n">
        <f aca="false">Algae_electricity_factor/Q92</f>
        <v>0.00212798078352559</v>
      </c>
      <c r="AN92" s="220" t="n">
        <f aca="false">Algae_electricity_factor/R92</f>
        <v>0.00196022013814728</v>
      </c>
      <c r="AO92" s="220" t="n">
        <f aca="false">Algae_electricity_factor/S92</f>
        <v>0.00180018864006333</v>
      </c>
      <c r="AP92" s="220" t="n">
        <f aca="false">Algae_electricity_factor/T92</f>
        <v>0.00166431472775021</v>
      </c>
      <c r="AQ92" s="220" t="n">
        <f aca="false">Algae_electricity_factor/U92</f>
        <v>0.00155990270544863</v>
      </c>
      <c r="AR92" s="220" t="n">
        <f aca="false">Algae_electricity_factor/V92</f>
        <v>0.00148565189237798</v>
      </c>
      <c r="AS92" s="220" t="n">
        <f aca="false">Algae_electricity_factor/W92</f>
        <v>0.00143571201365231</v>
      </c>
      <c r="AT92" s="220" t="n">
        <f aca="false">Algae_electricity_factor/X92</f>
        <v>0.00140337002816394</v>
      </c>
      <c r="AU92" s="220" t="n">
        <f aca="false">Algae_electricity_factor/Y92</f>
        <v>0.0013829349283089</v>
      </c>
      <c r="AV92" s="220" t="n">
        <f aca="false">Algae_electricity_factor/Z92</f>
        <v>0.00137022363574344</v>
      </c>
      <c r="AW92" s="220" t="n">
        <f aca="false">Algae_electricity_factor/AA92</f>
        <v>0.00136239362897841</v>
      </c>
      <c r="AX92" s="220" t="n">
        <f aca="false">Algae_electricity_factor/AB92</f>
        <v>0.00135759941348313</v>
      </c>
      <c r="AY92" s="220" t="n">
        <f aca="false">Algae_electricity_factor/AC92</f>
        <v>0.0013546747982854</v>
      </c>
      <c r="AZ92" s="221" t="n">
        <f aca="false">Algae_yield_cost_factor/H92</f>
        <v>0.149487091675952</v>
      </c>
      <c r="BA92" s="197" t="n">
        <f aca="false">Algae_yield_cost_factor/I92</f>
        <v>0.149487091675952</v>
      </c>
      <c r="BB92" s="197" t="n">
        <f aca="false">Algae_yield_cost_factor/J92</f>
        <v>0.149487091675952</v>
      </c>
      <c r="BC92" s="197" t="n">
        <f aca="false">Algae_yield_cost_factor/K92</f>
        <v>0.149487091675952</v>
      </c>
      <c r="BD92" s="197" t="n">
        <f aca="false">Algae_yield_cost_factor/L92</f>
        <v>0.149487091675952</v>
      </c>
      <c r="BE92" s="197" t="n">
        <f aca="false">Algae_yield_cost_factor/M92</f>
        <v>0.142718540284339</v>
      </c>
      <c r="BF92" s="197" t="n">
        <f aca="false">Algae_yield_cost_factor/N92</f>
        <v>0.138946837466068</v>
      </c>
      <c r="BG92" s="197" t="n">
        <f aca="false">Algae_yield_cost_factor/O92</f>
        <v>0.133565673154128</v>
      </c>
      <c r="BH92" s="197" t="n">
        <f aca="false">Algae_yield_cost_factor/P92</f>
        <v>0.126424107621372</v>
      </c>
      <c r="BI92" s="197" t="n">
        <f aca="false">Algae_yield_cost_factor/Q92</f>
        <v>0.117804564622502</v>
      </c>
      <c r="BJ92" s="197" t="n">
        <f aca="false">Algae_yield_cost_factor/R92</f>
        <v>0.108517370892849</v>
      </c>
      <c r="BK92" s="197" t="n">
        <f aca="false">Algae_yield_cost_factor/S92</f>
        <v>0.0996580611173011</v>
      </c>
      <c r="BL92" s="197" t="n">
        <f aca="false">Algae_yield_cost_factor/T92</f>
        <v>0.0921361101638322</v>
      </c>
      <c r="BM92" s="197" t="n">
        <f aca="false">Algae_yield_cost_factor/U92</f>
        <v>0.0863558827652492</v>
      </c>
      <c r="BN92" s="197" t="n">
        <f aca="false">Algae_yield_cost_factor/V92</f>
        <v>0.0822453735095394</v>
      </c>
      <c r="BO92" s="197" t="n">
        <f aca="false">Algae_yield_cost_factor/W92</f>
        <v>0.0794807124204334</v>
      </c>
      <c r="BP92" s="197" t="n">
        <f aca="false">Algae_yield_cost_factor/X92</f>
        <v>0.0776902669667052</v>
      </c>
      <c r="BQ92" s="197" t="n">
        <f aca="false">Algae_yield_cost_factor/Y92</f>
        <v>0.0765589841750197</v>
      </c>
      <c r="BR92" s="197" t="n">
        <f aca="false">Algae_yield_cost_factor/Z92</f>
        <v>0.0758552897159076</v>
      </c>
      <c r="BS92" s="197" t="n">
        <f aca="false">Algae_yield_cost_factor/AA92</f>
        <v>0.0754218222029083</v>
      </c>
      <c r="BT92" s="197" t="n">
        <f aca="false">Algae_yield_cost_factor/AB92</f>
        <v>0.0751564154504131</v>
      </c>
      <c r="BU92" s="197" t="n">
        <f aca="false">Algae_yield_cost_factor/AC92</f>
        <v>0.0749945093736647</v>
      </c>
    </row>
    <row r="93" customFormat="false" ht="15" hidden="false" customHeight="false" outlineLevel="0" collapsed="false">
      <c r="A93" s="18" t="s">
        <v>704</v>
      </c>
      <c r="B93" s="18" t="s">
        <v>22</v>
      </c>
      <c r="C93" s="18" t="s">
        <v>691</v>
      </c>
      <c r="D93" s="18" t="s">
        <v>691</v>
      </c>
      <c r="E93" s="28" t="n">
        <v>4.2128665</v>
      </c>
      <c r="F93" s="185" t="n">
        <f aca="false">E93/$B$2*$F$3/1000</f>
        <v>0.010321522925</v>
      </c>
      <c r="G93" s="18" t="n">
        <f aca="false">LOOKUP(RIGHT(D93,5),Ref!$C$4:$C$21,Ref!$E$4:$E$21)*$G$3</f>
        <v>2</v>
      </c>
      <c r="H93" s="218" t="n">
        <f aca="false">$E93</f>
        <v>4.2128665</v>
      </c>
      <c r="I93" s="177" t="n">
        <f aca="false">$E93</f>
        <v>4.2128665</v>
      </c>
      <c r="J93" s="177" t="n">
        <f aca="false">$E93</f>
        <v>4.2128665</v>
      </c>
      <c r="K93" s="177" t="n">
        <f aca="false">$E93</f>
        <v>4.2128665</v>
      </c>
      <c r="L93" s="177" t="n">
        <f aca="false">$E93</f>
        <v>4.2128665</v>
      </c>
      <c r="M93" s="177" t="n">
        <f aca="false">M$3*$E93</f>
        <v>4.41266537234302</v>
      </c>
      <c r="N93" s="177" t="n">
        <f aca="false">N$3*$E93</f>
        <v>4.53244688536247</v>
      </c>
      <c r="O93" s="177" t="n">
        <f aca="false">O$3*$E93</f>
        <v>4.71505249688909</v>
      </c>
      <c r="P93" s="177" t="n">
        <f aca="false">P$3*$E93</f>
        <v>4.98140087798875</v>
      </c>
      <c r="Q93" s="177" t="n">
        <f aca="false">Q$3*$E93</f>
        <v>5.34588080455204</v>
      </c>
      <c r="R93" s="177" t="n">
        <f aca="false">R$3*$E93</f>
        <v>5.8033949359673</v>
      </c>
      <c r="S93" s="177" t="n">
        <f aca="false">S$3*$E93</f>
        <v>6.31929975</v>
      </c>
      <c r="T93" s="177" t="n">
        <f aca="false">T$3*$E93</f>
        <v>6.8352045640327</v>
      </c>
      <c r="U93" s="177" t="n">
        <f aca="false">U$3*$E93</f>
        <v>7.29271869544796</v>
      </c>
      <c r="V93" s="177" t="n">
        <f aca="false">V$3*$E93</f>
        <v>7.65719862201125</v>
      </c>
      <c r="W93" s="177" t="n">
        <f aca="false">W$3*$E93</f>
        <v>7.92354700311091</v>
      </c>
      <c r="X93" s="177" t="n">
        <f aca="false">X$3*$E93</f>
        <v>8.10615261463753</v>
      </c>
      <c r="Y93" s="177" t="n">
        <f aca="false">Y$3*$E93</f>
        <v>8.22593412765698</v>
      </c>
      <c r="Z93" s="177" t="n">
        <f aca="false">Z$3*$E93</f>
        <v>8.30224448502734</v>
      </c>
      <c r="AA93" s="177" t="n">
        <f aca="false">AA$3*$E93</f>
        <v>8.34995949858874</v>
      </c>
      <c r="AB93" s="177" t="n">
        <f aca="false">AB$3*$E93</f>
        <v>8.37944647745415</v>
      </c>
      <c r="AC93" s="177" t="n">
        <f aca="false">AC$3*$E93</f>
        <v>8.39753691255159</v>
      </c>
      <c r="AD93" s="219" t="n">
        <f aca="false">Algae_electricity_factor/H93</f>
        <v>0.00326229115105576</v>
      </c>
      <c r="AE93" s="220" t="n">
        <f aca="false">Algae_electricity_factor/I93</f>
        <v>0.00326229115105576</v>
      </c>
      <c r="AF93" s="220" t="n">
        <f aca="false">Algae_electricity_factor/J93</f>
        <v>0.00326229115105576</v>
      </c>
      <c r="AG93" s="220" t="n">
        <f aca="false">Algae_electricity_factor/K93</f>
        <v>0.00326229115105576</v>
      </c>
      <c r="AH93" s="220" t="n">
        <f aca="false">Algae_electricity_factor/L93</f>
        <v>0.00326229115105576</v>
      </c>
      <c r="AI93" s="220" t="n">
        <f aca="false">Algae_electricity_factor/M93</f>
        <v>0.00311457949874675</v>
      </c>
      <c r="AJ93" s="220" t="n">
        <f aca="false">Algae_electricity_factor/N93</f>
        <v>0.003032268761475</v>
      </c>
      <c r="AK93" s="220" t="n">
        <f aca="false">Algae_electricity_factor/O93</f>
        <v>0.00291483437620197</v>
      </c>
      <c r="AL93" s="220" t="n">
        <f aca="false">Algae_electricity_factor/P93</f>
        <v>0.00275898235057891</v>
      </c>
      <c r="AM93" s="220" t="n">
        <f aca="false">Algae_electricity_factor/Q93</f>
        <v>0.00257087608310057</v>
      </c>
      <c r="AN93" s="220" t="n">
        <f aca="false">Algae_electricity_factor/R93</f>
        <v>0.00236819952031035</v>
      </c>
      <c r="AO93" s="220" t="n">
        <f aca="false">Algae_electricity_factor/S93</f>
        <v>0.00217486076737051</v>
      </c>
      <c r="AP93" s="220" t="n">
        <f aca="false">Algae_electricity_factor/T93</f>
        <v>0.0020107075033056</v>
      </c>
      <c r="AQ93" s="220" t="n">
        <f aca="false">Algae_electricity_factor/U93</f>
        <v>0.00188456427259533</v>
      </c>
      <c r="AR93" s="220" t="n">
        <f aca="false">Algae_electricity_factor/V93</f>
        <v>0.0017948596845878</v>
      </c>
      <c r="AS93" s="220" t="n">
        <f aca="false">Algae_electricity_factor/W93</f>
        <v>0.00173452585037147</v>
      </c>
      <c r="AT93" s="220" t="n">
        <f aca="false">Algae_electricity_factor/X93</f>
        <v>0.001695452547823</v>
      </c>
      <c r="AU93" s="220" t="n">
        <f aca="false">Algae_electricity_factor/Y93</f>
        <v>0.00167076430351186</v>
      </c>
      <c r="AV93" s="220" t="n">
        <f aca="false">Algae_electricity_factor/Z93</f>
        <v>0.00165540741763449</v>
      </c>
      <c r="AW93" s="220" t="n">
        <f aca="false">Algae_electricity_factor/AA93</f>
        <v>0.00164594775649536</v>
      </c>
      <c r="AX93" s="220" t="n">
        <f aca="false">Algae_electricity_factor/AB93</f>
        <v>0.00164015572395002</v>
      </c>
      <c r="AY93" s="220" t="n">
        <f aca="false">Algae_electricity_factor/AC93</f>
        <v>0.00163662241043407</v>
      </c>
      <c r="AZ93" s="221" t="n">
        <f aca="false">Algae_yield_cost_factor/H93</f>
        <v>0.18059974587047</v>
      </c>
      <c r="BA93" s="197" t="n">
        <f aca="false">Algae_yield_cost_factor/I93</f>
        <v>0.18059974587047</v>
      </c>
      <c r="BB93" s="197" t="n">
        <f aca="false">Algae_yield_cost_factor/J93</f>
        <v>0.18059974587047</v>
      </c>
      <c r="BC93" s="197" t="n">
        <f aca="false">Algae_yield_cost_factor/K93</f>
        <v>0.18059974587047</v>
      </c>
      <c r="BD93" s="197" t="n">
        <f aca="false">Algae_yield_cost_factor/L93</f>
        <v>0.18059974587047</v>
      </c>
      <c r="BE93" s="197" t="n">
        <f aca="false">Algae_yield_cost_factor/M93</f>
        <v>0.172422460142775</v>
      </c>
      <c r="BF93" s="197" t="n">
        <f aca="false">Algae_yield_cost_factor/N93</f>
        <v>0.167865755193593</v>
      </c>
      <c r="BG93" s="197" t="n">
        <f aca="false">Algae_yield_cost_factor/O93</f>
        <v>0.161364612544231</v>
      </c>
      <c r="BH93" s="197" t="n">
        <f aca="false">Algae_yield_cost_factor/P93</f>
        <v>0.152736677477242</v>
      </c>
      <c r="BI93" s="197" t="n">
        <f aca="false">Algae_yield_cost_factor/Q93</f>
        <v>0.142323154425433</v>
      </c>
      <c r="BJ93" s="197" t="n">
        <f aca="false">Algae_yield_cost_factor/R93</f>
        <v>0.131103022916947</v>
      </c>
      <c r="BK93" s="197" t="n">
        <f aca="false">Algae_yield_cost_factor/S93</f>
        <v>0.120399830580314</v>
      </c>
      <c r="BL93" s="197" t="n">
        <f aca="false">Algae_yield_cost_factor/T93</f>
        <v>0.111312340714691</v>
      </c>
      <c r="BM93" s="197" t="n">
        <f aca="false">Algae_yield_cost_factor/U93</f>
        <v>0.104329078229924</v>
      </c>
      <c r="BN93" s="197" t="n">
        <f aca="false">Algae_yield_cost_factor/V93</f>
        <v>0.0993630512729699</v>
      </c>
      <c r="BO93" s="197" t="n">
        <f aca="false">Algae_yield_cost_factor/W93</f>
        <v>0.0960229830134786</v>
      </c>
      <c r="BP93" s="197" t="n">
        <f aca="false">Algae_yield_cost_factor/X93</f>
        <v>0.0938598932756756</v>
      </c>
      <c r="BQ93" s="197" t="n">
        <f aca="false">Algae_yield_cost_factor/Y93</f>
        <v>0.0924931573094096</v>
      </c>
      <c r="BR93" s="197" t="n">
        <f aca="false">Algae_yield_cost_factor/Z93</f>
        <v>0.09164300336594</v>
      </c>
      <c r="BS93" s="197" t="n">
        <f aca="false">Algae_yield_cost_factor/AA93</f>
        <v>0.0911193185326002</v>
      </c>
      <c r="BT93" s="197" t="n">
        <f aca="false">Algae_yield_cost_factor/AB93</f>
        <v>0.0907986728399484</v>
      </c>
      <c r="BU93" s="197" t="n">
        <f aca="false">Algae_yield_cost_factor/AC93</f>
        <v>0.0906030693534679</v>
      </c>
    </row>
    <row r="94" customFormat="false" ht="15" hidden="false" customHeight="false" outlineLevel="0" collapsed="false">
      <c r="A94" s="18" t="s">
        <v>704</v>
      </c>
      <c r="B94" s="18" t="s">
        <v>22</v>
      </c>
      <c r="C94" s="18" t="s">
        <v>693</v>
      </c>
      <c r="D94" s="18" t="s">
        <v>693</v>
      </c>
      <c r="E94" s="28" t="n">
        <v>3.73827525</v>
      </c>
      <c r="F94" s="185" t="n">
        <f aca="false">E94/$B$2*$F$3/1000</f>
        <v>0.0091587743625</v>
      </c>
      <c r="G94" s="18" t="n">
        <f aca="false">LOOKUP(RIGHT(D94,5),Ref!$C$4:$C$21,Ref!$E$4:$E$21)*$G$3</f>
        <v>3</v>
      </c>
      <c r="H94" s="218" t="n">
        <f aca="false">$E94</f>
        <v>3.73827525</v>
      </c>
      <c r="I94" s="177" t="n">
        <f aca="false">$E94</f>
        <v>3.73827525</v>
      </c>
      <c r="J94" s="177" t="n">
        <f aca="false">$E94</f>
        <v>3.73827525</v>
      </c>
      <c r="K94" s="177" t="n">
        <f aca="false">$E94</f>
        <v>3.73827525</v>
      </c>
      <c r="L94" s="177" t="n">
        <f aca="false">$E94</f>
        <v>3.73827525</v>
      </c>
      <c r="M94" s="177" t="n">
        <f aca="false">M$3*$E94</f>
        <v>3.91556621790934</v>
      </c>
      <c r="N94" s="177" t="n">
        <f aca="false">N$3*$E94</f>
        <v>4.02185400688346</v>
      </c>
      <c r="O94" s="177" t="n">
        <f aca="false">O$3*$E94</f>
        <v>4.18388858312296</v>
      </c>
      <c r="P94" s="177" t="n">
        <f aca="false">P$3*$E94</f>
        <v>4.42023207061359</v>
      </c>
      <c r="Q94" s="177" t="n">
        <f aca="false">Q$3*$E94</f>
        <v>4.74365230920727</v>
      </c>
      <c r="R94" s="177" t="n">
        <f aca="false">R$3*$E94</f>
        <v>5.14962618803656</v>
      </c>
      <c r="S94" s="177" t="n">
        <f aca="false">S$3*$E94</f>
        <v>5.607412875</v>
      </c>
      <c r="T94" s="177" t="n">
        <f aca="false">T$3*$E94</f>
        <v>6.06519956196345</v>
      </c>
      <c r="U94" s="177" t="n">
        <f aca="false">U$3*$E94</f>
        <v>6.47117344079273</v>
      </c>
      <c r="V94" s="177" t="n">
        <f aca="false">V$3*$E94</f>
        <v>6.79459367938641</v>
      </c>
      <c r="W94" s="177" t="n">
        <f aca="false">W$3*$E94</f>
        <v>7.03093716687704</v>
      </c>
      <c r="X94" s="177" t="n">
        <f aca="false">X$3*$E94</f>
        <v>7.19297174311654</v>
      </c>
      <c r="Y94" s="177" t="n">
        <f aca="false">Y$3*$E94</f>
        <v>7.29925953209066</v>
      </c>
      <c r="Z94" s="177" t="n">
        <f aca="false">Z$3*$E94</f>
        <v>7.36697331325992</v>
      </c>
      <c r="AA94" s="177" t="n">
        <f aca="false">AA$3*$E94</f>
        <v>7.40931309645741</v>
      </c>
      <c r="AB94" s="177" t="n">
        <f aca="false">AB$3*$E94</f>
        <v>7.43547828429088</v>
      </c>
      <c r="AC94" s="177" t="n">
        <f aca="false">AC$3*$E94</f>
        <v>7.45153078103781</v>
      </c>
      <c r="AD94" s="219" t="n">
        <f aca="false">Algae_electricity_factor/H94</f>
        <v>0.00367645402877417</v>
      </c>
      <c r="AE94" s="220" t="n">
        <f aca="false">Algae_electricity_factor/I94</f>
        <v>0.00367645402877417</v>
      </c>
      <c r="AF94" s="220" t="n">
        <f aca="false">Algae_electricity_factor/J94</f>
        <v>0.00367645402877417</v>
      </c>
      <c r="AG94" s="220" t="n">
        <f aca="false">Algae_electricity_factor/K94</f>
        <v>0.00367645402877417</v>
      </c>
      <c r="AH94" s="220" t="n">
        <f aca="false">Algae_electricity_factor/L94</f>
        <v>0.00367645402877417</v>
      </c>
      <c r="AI94" s="220" t="n">
        <f aca="false">Algae_electricity_factor/M94</f>
        <v>0.0035099897022984</v>
      </c>
      <c r="AJ94" s="220" t="n">
        <f aca="false">Algae_electricity_factor/N94</f>
        <v>0.00341722923805959</v>
      </c>
      <c r="AK94" s="220" t="n">
        <f aca="false">Algae_electricity_factor/O94</f>
        <v>0.00328488601703411</v>
      </c>
      <c r="AL94" s="220" t="n">
        <f aca="false">Algae_electricity_factor/P94</f>
        <v>0.00310924785938252</v>
      </c>
      <c r="AM94" s="220" t="n">
        <f aca="false">Algae_electricity_factor/Q94</f>
        <v>0.00289726063540816</v>
      </c>
      <c r="AN94" s="220" t="n">
        <f aca="false">Algae_electricity_factor/R94</f>
        <v>0.00266885335006606</v>
      </c>
      <c r="AO94" s="220" t="n">
        <f aca="false">Algae_electricity_factor/S94</f>
        <v>0.00245096935251611</v>
      </c>
      <c r="AP94" s="220" t="n">
        <f aca="false">Algae_electricity_factor/T94</f>
        <v>0.00226597607599248</v>
      </c>
      <c r="AQ94" s="220" t="n">
        <f aca="false">Algae_electricity_factor/U94</f>
        <v>0.00212381838151531</v>
      </c>
      <c r="AR94" s="220" t="n">
        <f aca="false">Algae_electricity_factor/V94</f>
        <v>0.00202272538315645</v>
      </c>
      <c r="AS94" s="220" t="n">
        <f aca="false">Algae_electricity_factor/W94</f>
        <v>0.00195473189097405</v>
      </c>
      <c r="AT94" s="220" t="n">
        <f aca="false">Algae_electricity_factor/X94</f>
        <v>0.00191069805281544</v>
      </c>
      <c r="AU94" s="220" t="n">
        <f aca="false">Algae_electricity_factor/Y94</f>
        <v>0.00188287552225079</v>
      </c>
      <c r="AV94" s="220" t="n">
        <f aca="false">Algae_electricity_factor/Z94</f>
        <v>0.00186556900902464</v>
      </c>
      <c r="AW94" s="220" t="n">
        <f aca="false">Algae_electricity_factor/AA94</f>
        <v>0.00185490840036176</v>
      </c>
      <c r="AX94" s="220" t="n">
        <f aca="false">Algae_electricity_factor/AB94</f>
        <v>0.00184838104262448</v>
      </c>
      <c r="AY94" s="220" t="n">
        <f aca="false">Algae_electricity_factor/AC94</f>
        <v>0.00184439915869409</v>
      </c>
      <c r="AZ94" s="221" t="n">
        <f aca="false">Algae_yield_cost_factor/H94</f>
        <v>0.203527714896386</v>
      </c>
      <c r="BA94" s="197" t="n">
        <f aca="false">Algae_yield_cost_factor/I94</f>
        <v>0.203527714896386</v>
      </c>
      <c r="BB94" s="197" t="n">
        <f aca="false">Algae_yield_cost_factor/J94</f>
        <v>0.203527714896386</v>
      </c>
      <c r="BC94" s="197" t="n">
        <f aca="false">Algae_yield_cost_factor/K94</f>
        <v>0.203527714896386</v>
      </c>
      <c r="BD94" s="197" t="n">
        <f aca="false">Algae_yield_cost_factor/L94</f>
        <v>0.203527714896386</v>
      </c>
      <c r="BE94" s="197" t="n">
        <f aca="false">Algae_yield_cost_factor/M94</f>
        <v>0.194312285106101</v>
      </c>
      <c r="BF94" s="197" t="n">
        <f aca="false">Algae_yield_cost_factor/N94</f>
        <v>0.189177085489435</v>
      </c>
      <c r="BG94" s="197" t="n">
        <f aca="false">Algae_yield_cost_factor/O94</f>
        <v>0.181850592856444</v>
      </c>
      <c r="BH94" s="197" t="n">
        <f aca="false">Algae_yield_cost_factor/P94</f>
        <v>0.172127301718935</v>
      </c>
      <c r="BI94" s="197" t="n">
        <f aca="false">Algae_yield_cost_factor/Q94</f>
        <v>0.160391733983</v>
      </c>
      <c r="BJ94" s="197" t="n">
        <f aca="false">Algae_yield_cost_factor/R94</f>
        <v>0.147747155134053</v>
      </c>
      <c r="BK94" s="197" t="n">
        <f aca="false">Algae_yield_cost_factor/S94</f>
        <v>0.135685143264258</v>
      </c>
      <c r="BL94" s="197" t="n">
        <f aca="false">Algae_yield_cost_factor/T94</f>
        <v>0.125443954731131</v>
      </c>
      <c r="BM94" s="197" t="n">
        <f aca="false">Algae_yield_cost_factor/U94</f>
        <v>0.117574134930467</v>
      </c>
      <c r="BN94" s="197" t="n">
        <f aca="false">Algae_yield_cost_factor/V94</f>
        <v>0.111977647993062</v>
      </c>
      <c r="BO94" s="197" t="n">
        <f aca="false">Algae_yield_cost_factor/W94</f>
        <v>0.108213542693934</v>
      </c>
      <c r="BP94" s="197" t="n">
        <f aca="false">Algae_yield_cost_factor/X94</f>
        <v>0.105775838757371</v>
      </c>
      <c r="BQ94" s="197" t="n">
        <f aca="false">Algae_yield_cost_factor/Y94</f>
        <v>0.1042355893692</v>
      </c>
      <c r="BR94" s="197" t="n">
        <f aca="false">Algae_yield_cost_factor/Z94</f>
        <v>0.103277504469409</v>
      </c>
      <c r="BS94" s="197" t="n">
        <f aca="false">Algae_yield_cost_factor/AA94</f>
        <v>0.102687335435993</v>
      </c>
      <c r="BT94" s="197" t="n">
        <f aca="false">Algae_yield_cost_factor/AB94</f>
        <v>0.10232598229675</v>
      </c>
      <c r="BU94" s="197" t="n">
        <f aca="false">Algae_yield_cost_factor/AC94</f>
        <v>0.102105546047312</v>
      </c>
    </row>
    <row r="95" customFormat="false" ht="15" hidden="false" customHeight="false" outlineLevel="0" collapsed="false">
      <c r="A95" s="18" t="s">
        <v>704</v>
      </c>
      <c r="B95" s="18" t="s">
        <v>22</v>
      </c>
      <c r="C95" s="18" t="s">
        <v>694</v>
      </c>
      <c r="D95" s="18" t="s">
        <v>694</v>
      </c>
      <c r="E95" s="28" t="n">
        <v>6.459478</v>
      </c>
      <c r="F95" s="185" t="n">
        <f aca="false">E95/$B$2*$F$3/1000</f>
        <v>0.0158257211</v>
      </c>
      <c r="G95" s="18" t="n">
        <f aca="false">LOOKUP(RIGHT(D95,5),Ref!$C$4:$C$21,Ref!$E$4:$E$21)*$G$3</f>
        <v>3</v>
      </c>
      <c r="H95" s="218" t="n">
        <f aca="false">$E95</f>
        <v>6.459478</v>
      </c>
      <c r="I95" s="177" t="n">
        <f aca="false">$E95</f>
        <v>6.459478</v>
      </c>
      <c r="J95" s="177" t="n">
        <f aca="false">$E95</f>
        <v>6.459478</v>
      </c>
      <c r="K95" s="177" t="n">
        <f aca="false">$E95</f>
        <v>6.459478</v>
      </c>
      <c r="L95" s="177" t="n">
        <f aca="false">$E95</f>
        <v>6.459478</v>
      </c>
      <c r="M95" s="177" t="n">
        <f aca="false">M$3*$E95</f>
        <v>6.76582438442128</v>
      </c>
      <c r="N95" s="177" t="n">
        <f aca="false">N$3*$E95</f>
        <v>6.94948224496726</v>
      </c>
      <c r="O95" s="177" t="n">
        <f aca="false">O$3*$E95</f>
        <v>7.22946665233758</v>
      </c>
      <c r="P95" s="177" t="n">
        <f aca="false">P$3*$E95</f>
        <v>7.63785165766564</v>
      </c>
      <c r="Q95" s="177" t="n">
        <f aca="false">Q$3*$E95</f>
        <v>8.19669919462821</v>
      </c>
      <c r="R95" s="177" t="n">
        <f aca="false">R$3*$E95</f>
        <v>8.89819364420691</v>
      </c>
      <c r="S95" s="177" t="n">
        <f aca="false">S$3*$E95</f>
        <v>9.689217</v>
      </c>
      <c r="T95" s="177" t="n">
        <f aca="false">T$3*$E95</f>
        <v>10.4802403557931</v>
      </c>
      <c r="U95" s="177" t="n">
        <f aca="false">U$3*$E95</f>
        <v>11.1817348053718</v>
      </c>
      <c r="V95" s="177" t="n">
        <f aca="false">V$3*$E95</f>
        <v>11.7405823423344</v>
      </c>
      <c r="W95" s="177" t="n">
        <f aca="false">W$3*$E95</f>
        <v>12.1489673476624</v>
      </c>
      <c r="X95" s="177" t="n">
        <f aca="false">X$3*$E95</f>
        <v>12.4289517550327</v>
      </c>
      <c r="Y95" s="177" t="n">
        <f aca="false">Y$3*$E95</f>
        <v>12.6126096155787</v>
      </c>
      <c r="Z95" s="177" t="n">
        <f aca="false">Z$3*$E95</f>
        <v>12.7296142903307</v>
      </c>
      <c r="AA95" s="177" t="n">
        <f aca="false">AA$3*$E95</f>
        <v>12.8027744724465</v>
      </c>
      <c r="AB95" s="177" t="n">
        <f aca="false">AB$3*$E95</f>
        <v>12.8479860857904</v>
      </c>
      <c r="AC95" s="177" t="n">
        <f aca="false">AC$3*$E95</f>
        <v>12.8757236766973</v>
      </c>
      <c r="AD95" s="219" t="n">
        <f aca="false">Algae_electricity_factor/H95</f>
        <v>0.00212766373746133</v>
      </c>
      <c r="AE95" s="220" t="n">
        <f aca="false">Algae_electricity_factor/I95</f>
        <v>0.00212766373746133</v>
      </c>
      <c r="AF95" s="220" t="n">
        <f aca="false">Algae_electricity_factor/J95</f>
        <v>0.00212766373746133</v>
      </c>
      <c r="AG95" s="220" t="n">
        <f aca="false">Algae_electricity_factor/K95</f>
        <v>0.00212766373746133</v>
      </c>
      <c r="AH95" s="220" t="n">
        <f aca="false">Algae_electricity_factor/L95</f>
        <v>0.00212766373746133</v>
      </c>
      <c r="AI95" s="220" t="n">
        <f aca="false">Algae_electricity_factor/M95</f>
        <v>0.0020313263133425</v>
      </c>
      <c r="AJ95" s="220" t="n">
        <f aca="false">Algae_electricity_factor/N95</f>
        <v>0.00197764331486453</v>
      </c>
      <c r="AK95" s="220" t="n">
        <f aca="false">Algae_electricity_factor/O95</f>
        <v>0.00190105270062839</v>
      </c>
      <c r="AL95" s="220" t="n">
        <f aca="false">Algae_electricity_factor/P95</f>
        <v>0.00179940613140027</v>
      </c>
      <c r="AM95" s="220" t="n">
        <f aca="false">Algae_electricity_factor/Q95</f>
        <v>0.00167672337085839</v>
      </c>
      <c r="AN95" s="220" t="n">
        <f aca="false">Algae_electricity_factor/R95</f>
        <v>0.00154453787510872</v>
      </c>
      <c r="AO95" s="220" t="n">
        <f aca="false">Algae_electricity_factor/S95</f>
        <v>0.00141844249164089</v>
      </c>
      <c r="AP95" s="220" t="n">
        <f aca="false">Algae_electricity_factor/T95</f>
        <v>0.00131138186119294</v>
      </c>
      <c r="AQ95" s="220" t="n">
        <f aca="false">Algae_electricity_factor/U95</f>
        <v>0.00122911134477333</v>
      </c>
      <c r="AR95" s="220" t="n">
        <f aca="false">Algae_electricity_factor/V95</f>
        <v>0.00117060608262781</v>
      </c>
      <c r="AS95" s="220" t="n">
        <f aca="false">Algae_electricity_factor/W95</f>
        <v>0.00113125640313567</v>
      </c>
      <c r="AT95" s="220" t="n">
        <f aca="false">Algae_electricity_factor/X95</f>
        <v>0.00110577282577062</v>
      </c>
      <c r="AU95" s="220" t="n">
        <f aca="false">Algae_electricity_factor/Y95</f>
        <v>0.00108967117213821</v>
      </c>
      <c r="AV95" s="220" t="n">
        <f aca="false">Algae_electricity_factor/Z95</f>
        <v>0.00107965542317875</v>
      </c>
      <c r="AW95" s="220" t="n">
        <f aca="false">Algae_electricity_factor/AA95</f>
        <v>0.00107348583958169</v>
      </c>
      <c r="AX95" s="220" t="n">
        <f aca="false">Algae_electricity_factor/AB95</f>
        <v>0.00106970828048525</v>
      </c>
      <c r="AY95" s="220" t="n">
        <f aca="false">Algae_electricity_factor/AC95</f>
        <v>0.00106740385617335</v>
      </c>
      <c r="AZ95" s="221" t="n">
        <f aca="false">Algae_yield_cost_factor/H95</f>
        <v>0.117787013019662</v>
      </c>
      <c r="BA95" s="197" t="n">
        <f aca="false">Algae_yield_cost_factor/I95</f>
        <v>0.117787013019662</v>
      </c>
      <c r="BB95" s="197" t="n">
        <f aca="false">Algae_yield_cost_factor/J95</f>
        <v>0.117787013019662</v>
      </c>
      <c r="BC95" s="197" t="n">
        <f aca="false">Algae_yield_cost_factor/K95</f>
        <v>0.117787013019662</v>
      </c>
      <c r="BD95" s="197" t="n">
        <f aca="false">Algae_yield_cost_factor/L95</f>
        <v>0.117787013019662</v>
      </c>
      <c r="BE95" s="197" t="n">
        <f aca="false">Algae_yield_cost_factor/M95</f>
        <v>0.112453793663061</v>
      </c>
      <c r="BF95" s="197" t="n">
        <f aca="false">Algae_yield_cost_factor/N95</f>
        <v>0.109481914258751</v>
      </c>
      <c r="BG95" s="197" t="n">
        <f aca="false">Algae_yield_cost_factor/O95</f>
        <v>0.105241874107021</v>
      </c>
      <c r="BH95" s="197" t="n">
        <f aca="false">Algae_yield_cost_factor/P95</f>
        <v>0.0996147416037607</v>
      </c>
      <c r="BI95" s="197" t="n">
        <f aca="false">Algae_yield_cost_factor/Q95</f>
        <v>0.0928230500132106</v>
      </c>
      <c r="BJ95" s="197" t="n">
        <f aca="false">Algae_yield_cost_factor/R95</f>
        <v>0.0855052890180197</v>
      </c>
      <c r="BK95" s="197" t="n">
        <f aca="false">Algae_yield_cost_factor/S95</f>
        <v>0.0785246753464411</v>
      </c>
      <c r="BL95" s="197" t="n">
        <f aca="false">Algae_yield_cost_factor/T95</f>
        <v>0.0725978215629045</v>
      </c>
      <c r="BM95" s="197" t="n">
        <f aca="false">Algae_yield_cost_factor/U95</f>
        <v>0.0680433432315622</v>
      </c>
      <c r="BN95" s="197" t="n">
        <f aca="false">Algae_yield_cost_factor/V95</f>
        <v>0.0648045043338915</v>
      </c>
      <c r="BO95" s="197" t="n">
        <f aca="false">Algae_yield_cost_factor/W95</f>
        <v>0.0626261144271337</v>
      </c>
      <c r="BP95" s="197" t="n">
        <f aca="false">Algae_yield_cost_factor/X95</f>
        <v>0.0612153489917713</v>
      </c>
      <c r="BQ95" s="197" t="n">
        <f aca="false">Algae_yield_cost_factor/Y95</f>
        <v>0.0603239648634211</v>
      </c>
      <c r="BR95" s="197" t="n">
        <f aca="false">Algae_yield_cost_factor/Z95</f>
        <v>0.0597694951263486</v>
      </c>
      <c r="BS95" s="197" t="n">
        <f aca="false">Algae_yield_cost_factor/AA95</f>
        <v>0.0594279482875893</v>
      </c>
      <c r="BT95" s="197" t="n">
        <f aca="false">Algae_yield_cost_factor/AB95</f>
        <v>0.059218823417601</v>
      </c>
      <c r="BU95" s="197" t="n">
        <f aca="false">Algae_yield_cost_factor/AC95</f>
        <v>0.059091250976689</v>
      </c>
    </row>
    <row r="96" customFormat="false" ht="15" hidden="false" customHeight="false" outlineLevel="0" collapsed="false">
      <c r="A96" s="18" t="s">
        <v>704</v>
      </c>
      <c r="B96" s="18" t="s">
        <v>22</v>
      </c>
      <c r="C96" s="18" t="s">
        <v>682</v>
      </c>
      <c r="D96" s="18" t="s">
        <v>682</v>
      </c>
      <c r="E96" s="28" t="n">
        <v>6.64008</v>
      </c>
      <c r="F96" s="185" t="n">
        <f aca="false">E96/$B$2*$F$3/1000</f>
        <v>0.016268196</v>
      </c>
      <c r="G96" s="18" t="n">
        <f aca="false">LOOKUP(RIGHT(D96,5),Ref!$C$4:$C$21,Ref!$E$4:$E$21)*$G$3</f>
        <v>3</v>
      </c>
      <c r="H96" s="218" t="n">
        <f aca="false">$E96</f>
        <v>6.64008</v>
      </c>
      <c r="I96" s="177" t="n">
        <f aca="false">$E96</f>
        <v>6.64008</v>
      </c>
      <c r="J96" s="177" t="n">
        <f aca="false">$E96</f>
        <v>6.64008</v>
      </c>
      <c r="K96" s="177" t="n">
        <f aca="false">$E96</f>
        <v>6.64008</v>
      </c>
      <c r="L96" s="177" t="n">
        <f aca="false">$E96</f>
        <v>6.64008</v>
      </c>
      <c r="M96" s="177" t="n">
        <f aca="false">M$3*$E96</f>
        <v>6.9549915919689</v>
      </c>
      <c r="N96" s="177" t="n">
        <f aca="false">N$3*$E96</f>
        <v>7.14378438399546</v>
      </c>
      <c r="O96" s="177" t="n">
        <f aca="false">O$3*$E96</f>
        <v>7.43159693846062</v>
      </c>
      <c r="P96" s="177" t="n">
        <f aca="false">P$3*$E96</f>
        <v>7.85140007211611</v>
      </c>
      <c r="Q96" s="177" t="n">
        <f aca="false">Q$3*$E96</f>
        <v>8.42587255321048</v>
      </c>
      <c r="R96" s="177" t="n">
        <f aca="false">R$3*$E96</f>
        <v>9.14698024407319</v>
      </c>
      <c r="S96" s="177" t="n">
        <f aca="false">S$3*$E96</f>
        <v>9.96012</v>
      </c>
      <c r="T96" s="177" t="n">
        <f aca="false">T$3*$E96</f>
        <v>10.7732597559268</v>
      </c>
      <c r="U96" s="177" t="n">
        <f aca="false">U$3*$E96</f>
        <v>11.4943674467895</v>
      </c>
      <c r="V96" s="177" t="n">
        <f aca="false">V$3*$E96</f>
        <v>12.0688399278839</v>
      </c>
      <c r="W96" s="177" t="n">
        <f aca="false">W$3*$E96</f>
        <v>12.4886430615394</v>
      </c>
      <c r="X96" s="177" t="n">
        <f aca="false">X$3*$E96</f>
        <v>12.7764556160045</v>
      </c>
      <c r="Y96" s="177" t="n">
        <f aca="false">Y$3*$E96</f>
        <v>12.9652484080311</v>
      </c>
      <c r="Z96" s="177" t="n">
        <f aca="false">Z$3*$E96</f>
        <v>13.0855244428325</v>
      </c>
      <c r="AA96" s="177" t="n">
        <f aca="false">AA$3*$E96</f>
        <v>13.1607301269549</v>
      </c>
      <c r="AB96" s="177" t="n">
        <f aca="false">AB$3*$E96</f>
        <v>13.2072058219775</v>
      </c>
      <c r="AC96" s="177" t="n">
        <f aca="false">AC$3*$E96</f>
        <v>13.2357189344347</v>
      </c>
      <c r="AD96" s="219" t="n">
        <f aca="false">Algae_electricity_factor/H96</f>
        <v>0.00206979390361701</v>
      </c>
      <c r="AE96" s="220" t="n">
        <f aca="false">Algae_electricity_factor/I96</f>
        <v>0.00206979390361701</v>
      </c>
      <c r="AF96" s="220" t="n">
        <f aca="false">Algae_electricity_factor/J96</f>
        <v>0.00206979390361701</v>
      </c>
      <c r="AG96" s="220" t="n">
        <f aca="false">Algae_electricity_factor/K96</f>
        <v>0.00206979390361701</v>
      </c>
      <c r="AH96" s="220" t="n">
        <f aca="false">Algae_electricity_factor/L96</f>
        <v>0.00206979390361701</v>
      </c>
      <c r="AI96" s="220" t="n">
        <f aca="false">Algae_electricity_factor/M96</f>
        <v>0.00197607673881293</v>
      </c>
      <c r="AJ96" s="220" t="n">
        <f aca="false">Algae_electricity_factor/N96</f>
        <v>0.00192385385179313</v>
      </c>
      <c r="AK96" s="220" t="n">
        <f aca="false">Algae_electricity_factor/O96</f>
        <v>0.00184934640795739</v>
      </c>
      <c r="AL96" s="220" t="n">
        <f aca="false">Algae_electricity_factor/P96</f>
        <v>0.00175046450025378</v>
      </c>
      <c r="AM96" s="220" t="n">
        <f aca="false">Algae_electricity_factor/Q96</f>
        <v>0.00163111855973808</v>
      </c>
      <c r="AN96" s="220" t="n">
        <f aca="false">Algae_electricity_factor/R96</f>
        <v>0.00150252834671141</v>
      </c>
      <c r="AO96" s="220" t="n">
        <f aca="false">Algae_electricity_factor/S96</f>
        <v>0.00137986260241134</v>
      </c>
      <c r="AP96" s="220" t="n">
        <f aca="false">Algae_electricity_factor/T96</f>
        <v>0.0012757138892867</v>
      </c>
      <c r="AQ96" s="220" t="n">
        <f aca="false">Algae_electricity_factor/U96</f>
        <v>0.00119568102961316</v>
      </c>
      <c r="AR96" s="220" t="n">
        <f aca="false">Algae_electricity_factor/V96</f>
        <v>0.00113876703855985</v>
      </c>
      <c r="AS96" s="220" t="n">
        <f aca="false">Algae_electricity_factor/W96</f>
        <v>0.00110048762189823</v>
      </c>
      <c r="AT96" s="220" t="n">
        <f aca="false">Algae_electricity_factor/X96</f>
        <v>0.00107569716645931</v>
      </c>
      <c r="AU96" s="220" t="n">
        <f aca="false">Algae_electricity_factor/Y96</f>
        <v>0.00106003345797957</v>
      </c>
      <c r="AV96" s="220" t="n">
        <f aca="false">Algae_electricity_factor/Z96</f>
        <v>0.00105029012505931</v>
      </c>
      <c r="AW96" s="220" t="n">
        <f aca="false">Algae_electricity_factor/AA96</f>
        <v>0.00104428834653942</v>
      </c>
      <c r="AX96" s="220" t="n">
        <f aca="false">Algae_electricity_factor/AB96</f>
        <v>0.00104061353239905</v>
      </c>
      <c r="AY96" s="220" t="n">
        <f aca="false">Algae_electricity_factor/AC96</f>
        <v>0.00103837178559098</v>
      </c>
      <c r="AZ96" s="221" t="n">
        <f aca="false">Algae_yield_cost_factor/H96</f>
        <v>0.114583351297909</v>
      </c>
      <c r="BA96" s="197" t="n">
        <f aca="false">Algae_yield_cost_factor/I96</f>
        <v>0.114583351297909</v>
      </c>
      <c r="BB96" s="197" t="n">
        <f aca="false">Algae_yield_cost_factor/J96</f>
        <v>0.114583351297909</v>
      </c>
      <c r="BC96" s="197" t="n">
        <f aca="false">Algae_yield_cost_factor/K96</f>
        <v>0.114583351297909</v>
      </c>
      <c r="BD96" s="197" t="n">
        <f aca="false">Algae_yield_cost_factor/L96</f>
        <v>0.114583351297909</v>
      </c>
      <c r="BE96" s="197" t="n">
        <f aca="false">Algae_yield_cost_factor/M96</f>
        <v>0.109395188940959</v>
      </c>
      <c r="BF96" s="197" t="n">
        <f aca="false">Algae_yield_cost_factor/N96</f>
        <v>0.10650414099714</v>
      </c>
      <c r="BG96" s="197" t="n">
        <f aca="false">Algae_yield_cost_factor/O96</f>
        <v>0.102379424716731</v>
      </c>
      <c r="BH96" s="197" t="n">
        <f aca="false">Algae_yield_cost_factor/P96</f>
        <v>0.0969053432888124</v>
      </c>
      <c r="BI96" s="197" t="n">
        <f aca="false">Algae_yield_cost_factor/Q96</f>
        <v>0.0902983773468442</v>
      </c>
      <c r="BJ96" s="197" t="n">
        <f aca="false">Algae_yield_cost_factor/R96</f>
        <v>0.0831796504402869</v>
      </c>
      <c r="BK96" s="197" t="n">
        <f aca="false">Algae_yield_cost_factor/S96</f>
        <v>0.0763889008652725</v>
      </c>
      <c r="BL96" s="197" t="n">
        <f aca="false">Algae_yield_cost_factor/T96</f>
        <v>0.070623250206851</v>
      </c>
      <c r="BM96" s="197" t="n">
        <f aca="false">Algae_yield_cost_factor/U96</f>
        <v>0.0661926480781444</v>
      </c>
      <c r="BN96" s="197" t="n">
        <f aca="false">Algae_yield_cost_factor/V96</f>
        <v>0.0630419016104741</v>
      </c>
      <c r="BO96" s="197" t="n">
        <f aca="false">Algae_yield_cost_factor/W96</f>
        <v>0.0609227612269058</v>
      </c>
      <c r="BP96" s="197" t="n">
        <f aca="false">Algae_yield_cost_factor/X96</f>
        <v>0.059550366874295</v>
      </c>
      <c r="BQ96" s="197" t="n">
        <f aca="false">Algae_yield_cost_factor/Y96</f>
        <v>0.0586832272966654</v>
      </c>
      <c r="BR96" s="197" t="n">
        <f aca="false">Algae_yield_cost_factor/Z96</f>
        <v>0.0581438384537168</v>
      </c>
      <c r="BS96" s="197" t="n">
        <f aca="false">Algae_yield_cost_factor/AA96</f>
        <v>0.0578115812684215</v>
      </c>
      <c r="BT96" s="197" t="n">
        <f aca="false">Algae_yield_cost_factor/AB96</f>
        <v>0.0576081443373993</v>
      </c>
      <c r="BU96" s="197" t="n">
        <f aca="false">Algae_yield_cost_factor/AC96</f>
        <v>0.0574840417097989</v>
      </c>
    </row>
    <row r="97" customFormat="false" ht="15" hidden="false" customHeight="false" outlineLevel="0" collapsed="false">
      <c r="A97" s="18" t="s">
        <v>704</v>
      </c>
      <c r="B97" s="18" t="s">
        <v>22</v>
      </c>
      <c r="C97" s="18" t="s">
        <v>687</v>
      </c>
      <c r="D97" s="18" t="s">
        <v>687</v>
      </c>
      <c r="E97" s="28" t="n">
        <v>6.9013105</v>
      </c>
      <c r="F97" s="185" t="n">
        <f aca="false">E97/$B$2*$F$3/1000</f>
        <v>0.016908210725</v>
      </c>
      <c r="G97" s="18" t="n">
        <f aca="false">LOOKUP(RIGHT(D97,5),Ref!$C$4:$C$21,Ref!$E$4:$E$21)*$G$3</f>
        <v>4.5</v>
      </c>
      <c r="H97" s="218" t="n">
        <f aca="false">$E97</f>
        <v>6.9013105</v>
      </c>
      <c r="I97" s="177" t="n">
        <f aca="false">$E97</f>
        <v>6.9013105</v>
      </c>
      <c r="J97" s="177" t="n">
        <f aca="false">$E97</f>
        <v>6.9013105</v>
      </c>
      <c r="K97" s="177" t="n">
        <f aca="false">$E97</f>
        <v>6.9013105</v>
      </c>
      <c r="L97" s="177" t="n">
        <f aca="false">$E97</f>
        <v>6.9013105</v>
      </c>
      <c r="M97" s="177" t="n">
        <f aca="false">M$3*$E97</f>
        <v>7.22861117653201</v>
      </c>
      <c r="N97" s="177" t="n">
        <f aca="false">N$3*$E97</f>
        <v>7.4248313542915</v>
      </c>
      <c r="O97" s="177" t="n">
        <f aca="false">O$3*$E97</f>
        <v>7.72396687738192</v>
      </c>
      <c r="P97" s="177" t="n">
        <f aca="false">P$3*$E97</f>
        <v>8.16028568291281</v>
      </c>
      <c r="Q97" s="177" t="n">
        <f aca="false">Q$3*$E97</f>
        <v>8.75735875518567</v>
      </c>
      <c r="R97" s="177" t="n">
        <f aca="false">R$3*$E97</f>
        <v>9.50683588175366</v>
      </c>
      <c r="S97" s="177" t="n">
        <f aca="false">S$3*$E97</f>
        <v>10.35196575</v>
      </c>
      <c r="T97" s="177" t="n">
        <f aca="false">T$3*$E97</f>
        <v>11.1970956182463</v>
      </c>
      <c r="U97" s="177" t="n">
        <f aca="false">U$3*$E97</f>
        <v>11.9465727448143</v>
      </c>
      <c r="V97" s="177" t="n">
        <f aca="false">V$3*$E97</f>
        <v>12.5436458170872</v>
      </c>
      <c r="W97" s="177" t="n">
        <f aca="false">W$3*$E97</f>
        <v>12.9799646226181</v>
      </c>
      <c r="X97" s="177" t="n">
        <f aca="false">X$3*$E97</f>
        <v>13.2791001457085</v>
      </c>
      <c r="Y97" s="177" t="n">
        <f aca="false">Y$3*$E97</f>
        <v>13.475320323468</v>
      </c>
      <c r="Z97" s="177" t="n">
        <f aca="false">Z$3*$E97</f>
        <v>13.6003281941372</v>
      </c>
      <c r="AA97" s="177" t="n">
        <f aca="false">AA$3*$E97</f>
        <v>13.6784925803334</v>
      </c>
      <c r="AB97" s="177" t="n">
        <f aca="false">AB$3*$E97</f>
        <v>13.7267966974606</v>
      </c>
      <c r="AC97" s="177" t="n">
        <f aca="false">AC$3*$E97</f>
        <v>13.7564315576413</v>
      </c>
      <c r="AD97" s="219" t="n">
        <f aca="false">Algae_electricity_factor/H97</f>
        <v>0.00199144743647301</v>
      </c>
      <c r="AE97" s="220" t="n">
        <f aca="false">Algae_electricity_factor/I97</f>
        <v>0.00199144743647301</v>
      </c>
      <c r="AF97" s="220" t="n">
        <f aca="false">Algae_electricity_factor/J97</f>
        <v>0.00199144743647301</v>
      </c>
      <c r="AG97" s="220" t="n">
        <f aca="false">Algae_electricity_factor/K97</f>
        <v>0.00199144743647301</v>
      </c>
      <c r="AH97" s="220" t="n">
        <f aca="false">Algae_electricity_factor/L97</f>
        <v>0.00199144743647301</v>
      </c>
      <c r="AI97" s="220" t="n">
        <f aca="false">Algae_electricity_factor/M97</f>
        <v>0.00190127768223977</v>
      </c>
      <c r="AJ97" s="220" t="n">
        <f aca="false">Algae_electricity_factor/N97</f>
        <v>0.00185103155179216</v>
      </c>
      <c r="AK97" s="220" t="n">
        <f aca="false">Algae_electricity_factor/O97</f>
        <v>0.00177934438633788</v>
      </c>
      <c r="AL97" s="220" t="n">
        <f aca="false">Algae_electricity_factor/P97</f>
        <v>0.00168420538662116</v>
      </c>
      <c r="AM97" s="220" t="n">
        <f aca="false">Algae_electricity_factor/Q97</f>
        <v>0.00156937696487437</v>
      </c>
      <c r="AN97" s="220" t="n">
        <f aca="false">Algae_electricity_factor/R97</f>
        <v>0.00144565418762589</v>
      </c>
      <c r="AO97" s="220" t="n">
        <f aca="false">Algae_electricity_factor/S97</f>
        <v>0.00132763162431534</v>
      </c>
      <c r="AP97" s="220" t="n">
        <f aca="false">Algae_electricity_factor/T97</f>
        <v>0.00122742517989515</v>
      </c>
      <c r="AQ97" s="220" t="n">
        <f aca="false">Algae_electricity_factor/U97</f>
        <v>0.00115042174832066</v>
      </c>
      <c r="AR97" s="220" t="n">
        <f aca="false">Algae_electricity_factor/V97</f>
        <v>0.00109566208293345</v>
      </c>
      <c r="AS97" s="220" t="n">
        <f aca="false">Algae_electricity_factor/W97</f>
        <v>0.00105883163037136</v>
      </c>
      <c r="AT97" s="220" t="n">
        <f aca="false">Algae_electricity_factor/X97</f>
        <v>0.00103497955077708</v>
      </c>
      <c r="AU97" s="220" t="n">
        <f aca="false">Algae_electricity_factor/Y97</f>
        <v>0.00101990874974557</v>
      </c>
      <c r="AV97" s="220" t="n">
        <f aca="false">Algae_electricity_factor/Z97</f>
        <v>0.00101053422442069</v>
      </c>
      <c r="AW97" s="220" t="n">
        <f aca="false">Algae_electricity_factor/AA97</f>
        <v>0.00100475962704322</v>
      </c>
      <c r="AX97" s="220" t="n">
        <f aca="false">Algae_electricity_factor/AB97</f>
        <v>0.00100122391308322</v>
      </c>
      <c r="AY97" s="220" t="n">
        <f aca="false">Algae_electricity_factor/AC97</f>
        <v>0.000999067021555826</v>
      </c>
      <c r="AZ97" s="221" t="n">
        <f aca="false">Algae_yield_cost_factor/H97</f>
        <v>0.110246107501788</v>
      </c>
      <c r="BA97" s="197" t="n">
        <f aca="false">Algae_yield_cost_factor/I97</f>
        <v>0.110246107501788</v>
      </c>
      <c r="BB97" s="197" t="n">
        <f aca="false">Algae_yield_cost_factor/J97</f>
        <v>0.110246107501788</v>
      </c>
      <c r="BC97" s="197" t="n">
        <f aca="false">Algae_yield_cost_factor/K97</f>
        <v>0.110246107501788</v>
      </c>
      <c r="BD97" s="197" t="n">
        <f aca="false">Algae_yield_cost_factor/L97</f>
        <v>0.110246107501788</v>
      </c>
      <c r="BE97" s="197" t="n">
        <f aca="false">Algae_yield_cost_factor/M97</f>
        <v>0.105254329041286</v>
      </c>
      <c r="BF97" s="197" t="n">
        <f aca="false">Algae_yield_cost_factor/N97</f>
        <v>0.10247271392184</v>
      </c>
      <c r="BG97" s="197" t="n">
        <f aca="false">Algae_yield_cost_factor/O97</f>
        <v>0.098504127654171</v>
      </c>
      <c r="BH97" s="197" t="n">
        <f aca="false">Algae_yield_cost_factor/P97</f>
        <v>0.093237252818168</v>
      </c>
      <c r="BI97" s="197" t="n">
        <f aca="false">Algae_yield_cost_factor/Q97</f>
        <v>0.0868803757566383</v>
      </c>
      <c r="BJ97" s="197" t="n">
        <f aca="false">Algae_yield_cost_factor/R97</f>
        <v>0.0800311090619006</v>
      </c>
      <c r="BK97" s="197" t="n">
        <f aca="false">Algae_yield_cost_factor/S97</f>
        <v>0.0734974050011919</v>
      </c>
      <c r="BL97" s="197" t="n">
        <f aca="false">Algae_yield_cost_factor/T97</f>
        <v>0.0679499975017074</v>
      </c>
      <c r="BM97" s="197" t="n">
        <f aca="false">Algae_yield_cost_factor/U97</f>
        <v>0.0636871038697252</v>
      </c>
      <c r="BN97" s="197" t="n">
        <f aca="false">Algae_yield_cost_factor/V97</f>
        <v>0.0606556204137862</v>
      </c>
      <c r="BO97" s="197" t="n">
        <f aca="false">Algae_yield_cost_factor/W97</f>
        <v>0.0586166943753006</v>
      </c>
      <c r="BP97" s="197" t="n">
        <f aca="false">Algae_yield_cost_factor/X97</f>
        <v>0.0572962483103273</v>
      </c>
      <c r="BQ97" s="197" t="n">
        <f aca="false">Algae_yield_cost_factor/Y97</f>
        <v>0.0564619319632179</v>
      </c>
      <c r="BR97" s="197" t="n">
        <f aca="false">Algae_yield_cost_factor/Z97</f>
        <v>0.055942960230489</v>
      </c>
      <c r="BS97" s="197" t="n">
        <f aca="false">Algae_yield_cost_factor/AA97</f>
        <v>0.0556232797450311</v>
      </c>
      <c r="BT97" s="197" t="n">
        <f aca="false">Algae_yield_cost_factor/AB97</f>
        <v>0.055427543370477</v>
      </c>
      <c r="BU97" s="197" t="n">
        <f aca="false">Algae_yield_cost_factor/AC97</f>
        <v>0.055308138313209</v>
      </c>
    </row>
    <row r="98" customFormat="false" ht="15" hidden="false" customHeight="false" outlineLevel="0" collapsed="false">
      <c r="A98" s="18" t="s">
        <v>704</v>
      </c>
      <c r="B98" s="18" t="s">
        <v>22</v>
      </c>
      <c r="C98" s="18" t="s">
        <v>688</v>
      </c>
      <c r="D98" s="18" t="s">
        <v>688</v>
      </c>
      <c r="E98" s="28" t="n">
        <v>6.91967</v>
      </c>
      <c r="F98" s="185" t="n">
        <f aca="false">E98/$B$2*$F$3/1000</f>
        <v>0.0169531915</v>
      </c>
      <c r="G98" s="18" t="n">
        <f aca="false">LOOKUP(RIGHT(D98,5),Ref!$C$4:$C$21,Ref!$E$4:$E$21)*$G$3</f>
        <v>4.5</v>
      </c>
      <c r="H98" s="218" t="n">
        <f aca="false">$E98</f>
        <v>6.91967</v>
      </c>
      <c r="I98" s="177" t="n">
        <f aca="false">$E98</f>
        <v>6.91967</v>
      </c>
      <c r="J98" s="177" t="n">
        <f aca="false">$E98</f>
        <v>6.91967</v>
      </c>
      <c r="K98" s="177" t="n">
        <f aca="false">$E98</f>
        <v>6.91967</v>
      </c>
      <c r="L98" s="177" t="n">
        <f aca="false">$E98</f>
        <v>6.91967</v>
      </c>
      <c r="M98" s="177" t="n">
        <f aca="false">M$3*$E98</f>
        <v>7.24784139185061</v>
      </c>
      <c r="N98" s="177" t="n">
        <f aca="false">N$3*$E98</f>
        <v>7.4445835725476</v>
      </c>
      <c r="O98" s="177" t="n">
        <f aca="false">O$3*$E98</f>
        <v>7.74451488342879</v>
      </c>
      <c r="P98" s="177" t="n">
        <f aca="false">P$3*$E98</f>
        <v>8.18199442431713</v>
      </c>
      <c r="Q98" s="177" t="n">
        <f aca="false">Q$3*$E98</f>
        <v>8.78065588521132</v>
      </c>
      <c r="R98" s="177" t="n">
        <f aca="false">R$3*$E98</f>
        <v>9.53212683966246</v>
      </c>
      <c r="S98" s="177" t="n">
        <f aca="false">S$3*$E98</f>
        <v>10.379505</v>
      </c>
      <c r="T98" s="177" t="n">
        <f aca="false">T$3*$E98</f>
        <v>11.2268831603375</v>
      </c>
      <c r="U98" s="177" t="n">
        <f aca="false">U$3*$E98</f>
        <v>11.9783541147887</v>
      </c>
      <c r="V98" s="177" t="n">
        <f aca="false">V$3*$E98</f>
        <v>12.5770155756829</v>
      </c>
      <c r="W98" s="177" t="n">
        <f aca="false">W$3*$E98</f>
        <v>13.0144951165712</v>
      </c>
      <c r="X98" s="177" t="n">
        <f aca="false">X$3*$E98</f>
        <v>13.3144264274524</v>
      </c>
      <c r="Y98" s="177" t="n">
        <f aca="false">Y$3*$E98</f>
        <v>13.5111686081494</v>
      </c>
      <c r="Z98" s="177" t="n">
        <f aca="false">Z$3*$E98</f>
        <v>13.6365090362368</v>
      </c>
      <c r="AA98" s="177" t="n">
        <f aca="false">AA$3*$E98</f>
        <v>13.7148813625116</v>
      </c>
      <c r="AB98" s="177" t="n">
        <f aca="false">AB$3*$E98</f>
        <v>13.7633139826874</v>
      </c>
      <c r="AC98" s="177" t="n">
        <f aca="false">AC$3*$E98</f>
        <v>13.7930276802448</v>
      </c>
      <c r="AD98" s="219" t="n">
        <f aca="false">Algae_electricity_factor/H98</f>
        <v>0.00198616366149387</v>
      </c>
      <c r="AE98" s="220" t="n">
        <f aca="false">Algae_electricity_factor/I98</f>
        <v>0.00198616366149387</v>
      </c>
      <c r="AF98" s="220" t="n">
        <f aca="false">Algae_electricity_factor/J98</f>
        <v>0.00198616366149387</v>
      </c>
      <c r="AG98" s="220" t="n">
        <f aca="false">Algae_electricity_factor/K98</f>
        <v>0.00198616366149387</v>
      </c>
      <c r="AH98" s="220" t="n">
        <f aca="false">Algae_electricity_factor/L98</f>
        <v>0.00198616366149387</v>
      </c>
      <c r="AI98" s="220" t="n">
        <f aca="false">Algae_electricity_factor/M98</f>
        <v>0.00189623314866995</v>
      </c>
      <c r="AJ98" s="220" t="n">
        <f aca="false">Algae_electricity_factor/N98</f>
        <v>0.00184612033293705</v>
      </c>
      <c r="AK98" s="220" t="n">
        <f aca="false">Algae_electricity_factor/O98</f>
        <v>0.00177462337026906</v>
      </c>
      <c r="AL98" s="220" t="n">
        <f aca="false">Algae_electricity_factor/P98</f>
        <v>0.00167973679653006</v>
      </c>
      <c r="AM98" s="220" t="n">
        <f aca="false">Algae_electricity_factor/Q98</f>
        <v>0.0015652130413944</v>
      </c>
      <c r="AN98" s="220" t="n">
        <f aca="false">Algae_electricity_factor/R98</f>
        <v>0.00144181852955871</v>
      </c>
      <c r="AO98" s="220" t="n">
        <f aca="false">Algae_electricity_factor/S98</f>
        <v>0.00132410910766258</v>
      </c>
      <c r="AP98" s="220" t="n">
        <f aca="false">Algae_electricity_factor/T98</f>
        <v>0.00122416853433398</v>
      </c>
      <c r="AQ98" s="220" t="n">
        <f aca="false">Algae_electricity_factor/U98</f>
        <v>0.00114736941084094</v>
      </c>
      <c r="AR98" s="220" t="n">
        <f aca="false">Algae_electricity_factor/V98</f>
        <v>0.00109275503563039</v>
      </c>
      <c r="AS98" s="220" t="n">
        <f aca="false">Algae_electricity_factor/W98</f>
        <v>0.0010560223028575</v>
      </c>
      <c r="AT98" s="220" t="n">
        <f aca="false">Algae_electricity_factor/X98</f>
        <v>0.00103223350839898</v>
      </c>
      <c r="AU98" s="220" t="n">
        <f aca="false">Algae_electricity_factor/Y98</f>
        <v>0.00101720269372108</v>
      </c>
      <c r="AV98" s="220" t="n">
        <f aca="false">Algae_electricity_factor/Z98</f>
        <v>0.0010078530412005</v>
      </c>
      <c r="AW98" s="220" t="n">
        <f aca="false">Algae_electricity_factor/AA98</f>
        <v>0.00100209376517803</v>
      </c>
      <c r="AX98" s="220" t="n">
        <f aca="false">Algae_electricity_factor/AB98</f>
        <v>0.000998567432292622</v>
      </c>
      <c r="AY98" s="220" t="n">
        <f aca="false">Algae_electricity_factor/AC98</f>
        <v>0.000996416263502009</v>
      </c>
      <c r="AZ98" s="221" t="n">
        <f aca="false">Algae_yield_cost_factor/H98</f>
        <v>0.10995359884015</v>
      </c>
      <c r="BA98" s="197" t="n">
        <f aca="false">Algae_yield_cost_factor/I98</f>
        <v>0.10995359884015</v>
      </c>
      <c r="BB98" s="197" t="n">
        <f aca="false">Algae_yield_cost_factor/J98</f>
        <v>0.10995359884015</v>
      </c>
      <c r="BC98" s="197" t="n">
        <f aca="false">Algae_yield_cost_factor/K98</f>
        <v>0.10995359884015</v>
      </c>
      <c r="BD98" s="197" t="n">
        <f aca="false">Algae_yield_cost_factor/L98</f>
        <v>0.10995359884015</v>
      </c>
      <c r="BE98" s="197" t="n">
        <f aca="false">Algae_yield_cost_factor/M98</f>
        <v>0.104975064733301</v>
      </c>
      <c r="BF98" s="197" t="n">
        <f aca="false">Algae_yield_cost_factor/N98</f>
        <v>0.102200829888172</v>
      </c>
      <c r="BG98" s="197" t="n">
        <f aca="false">Algae_yield_cost_factor/O98</f>
        <v>0.0982427732063915</v>
      </c>
      <c r="BH98" s="197" t="n">
        <f aca="false">Algae_yield_cost_factor/P98</f>
        <v>0.0929898726189511</v>
      </c>
      <c r="BI98" s="197" t="n">
        <f aca="false">Algae_yield_cost_factor/Q98</f>
        <v>0.0866498618363641</v>
      </c>
      <c r="BJ98" s="197" t="n">
        <f aca="false">Algae_yield_cost_factor/R98</f>
        <v>0.0798187678452209</v>
      </c>
      <c r="BK98" s="197" t="n">
        <f aca="false">Algae_yield_cost_factor/S98</f>
        <v>0.0733023992267664</v>
      </c>
      <c r="BL98" s="197" t="n">
        <f aca="false">Algae_yield_cost_factor/T98</f>
        <v>0.0677697102944949</v>
      </c>
      <c r="BM98" s="197" t="n">
        <f aca="false">Algae_yield_cost_factor/U98</f>
        <v>0.0635181271145481</v>
      </c>
      <c r="BN98" s="197" t="n">
        <f aca="false">Algae_yield_cost_factor/V98</f>
        <v>0.0604946868919583</v>
      </c>
      <c r="BO98" s="197" t="n">
        <f aca="false">Algae_yield_cost_factor/W98</f>
        <v>0.0584611706002675</v>
      </c>
      <c r="BP98" s="197" t="n">
        <f aca="false">Algae_yield_cost_factor/X98</f>
        <v>0.0571442279869805</v>
      </c>
      <c r="BQ98" s="197" t="n">
        <f aca="false">Algae_yield_cost_factor/Y98</f>
        <v>0.0563121252759224</v>
      </c>
      <c r="BR98" s="197" t="n">
        <f aca="false">Algae_yield_cost_factor/Z98</f>
        <v>0.0557945304963612</v>
      </c>
      <c r="BS98" s="197" t="n">
        <f aca="false">Algae_yield_cost_factor/AA98</f>
        <v>0.055475698197865</v>
      </c>
      <c r="BT98" s="197" t="n">
        <f aca="false">Algae_yield_cost_factor/AB98</f>
        <v>0.0552804811576099</v>
      </c>
      <c r="BU98" s="197" t="n">
        <f aca="false">Algae_yield_cost_factor/AC98</f>
        <v>0.0551613929098355</v>
      </c>
    </row>
    <row r="99" customFormat="false" ht="15" hidden="false" customHeight="false" outlineLevel="0" collapsed="false">
      <c r="A99" s="18" t="s">
        <v>705</v>
      </c>
      <c r="B99" s="18" t="s">
        <v>22</v>
      </c>
      <c r="C99" s="18" t="s">
        <v>686</v>
      </c>
      <c r="D99" s="18" t="s">
        <v>686</v>
      </c>
      <c r="E99" s="28" t="n">
        <v>4.770185</v>
      </c>
      <c r="F99" s="185" t="n">
        <f aca="false">E99/$B$2*$F$3/1000</f>
        <v>0.01168695325</v>
      </c>
      <c r="G99" s="18" t="n">
        <f aca="false">LOOKUP(RIGHT(D99,5),Ref!$C$4:$C$21,Ref!$E$4:$E$21)*$G$3</f>
        <v>4.5</v>
      </c>
      <c r="H99" s="218" t="n">
        <f aca="false">$E99</f>
        <v>4.770185</v>
      </c>
      <c r="I99" s="177" t="n">
        <f aca="false">$E99</f>
        <v>4.770185</v>
      </c>
      <c r="J99" s="177" t="n">
        <f aca="false">$E99</f>
        <v>4.770185</v>
      </c>
      <c r="K99" s="177" t="n">
        <f aca="false">$E99</f>
        <v>4.770185</v>
      </c>
      <c r="L99" s="177" t="n">
        <f aca="false">$E99</f>
        <v>4.770185</v>
      </c>
      <c r="M99" s="177" t="n">
        <f aca="false">M$3*$E99</f>
        <v>4.99641518884353</v>
      </c>
      <c r="N99" s="177" t="n">
        <f aca="false">N$3*$E99</f>
        <v>5.13204255246464</v>
      </c>
      <c r="O99" s="177" t="n">
        <f aca="false">O$3*$E99</f>
        <v>5.33880499058607</v>
      </c>
      <c r="P99" s="177" t="n">
        <f aca="false">P$3*$E99</f>
        <v>5.64038849727822</v>
      </c>
      <c r="Q99" s="177" t="n">
        <f aca="false">Q$3*$E99</f>
        <v>6.05308533409783</v>
      </c>
      <c r="R99" s="177" t="n">
        <f aca="false">R$3*$E99</f>
        <v>6.57112383519088</v>
      </c>
      <c r="S99" s="177" t="n">
        <f aca="false">S$3*$E99</f>
        <v>7.1552775</v>
      </c>
      <c r="T99" s="177" t="n">
        <f aca="false">T$3*$E99</f>
        <v>7.73943116480912</v>
      </c>
      <c r="U99" s="177" t="n">
        <f aca="false">U$3*$E99</f>
        <v>8.25746966590217</v>
      </c>
      <c r="V99" s="177" t="n">
        <f aca="false">V$3*$E99</f>
        <v>8.67016650272178</v>
      </c>
      <c r="W99" s="177" t="n">
        <f aca="false">W$3*$E99</f>
        <v>8.97175000941392</v>
      </c>
      <c r="X99" s="177" t="n">
        <f aca="false">X$3*$E99</f>
        <v>9.17851244753537</v>
      </c>
      <c r="Y99" s="177" t="n">
        <f aca="false">Y$3*$E99</f>
        <v>9.31413981115647</v>
      </c>
      <c r="Z99" s="177" t="n">
        <f aca="false">Z$3*$E99</f>
        <v>9.40054523655334</v>
      </c>
      <c r="AA99" s="177" t="n">
        <f aca="false">AA$3*$E99</f>
        <v>9.45457245103198</v>
      </c>
      <c r="AB99" s="177" t="n">
        <f aca="false">AB$3*$E99</f>
        <v>9.48796025106768</v>
      </c>
      <c r="AC99" s="177" t="n">
        <f aca="false">AC$3*$E99</f>
        <v>9.50844386291374</v>
      </c>
      <c r="AD99" s="219" t="n">
        <f aca="false">Algae_electricity_factor/H99</f>
        <v>0.00288114551186783</v>
      </c>
      <c r="AE99" s="220" t="n">
        <f aca="false">Algae_electricity_factor/I99</f>
        <v>0.00288114551186783</v>
      </c>
      <c r="AF99" s="220" t="n">
        <f aca="false">Algae_electricity_factor/J99</f>
        <v>0.00288114551186783</v>
      </c>
      <c r="AG99" s="220" t="n">
        <f aca="false">Algae_electricity_factor/K99</f>
        <v>0.00288114551186783</v>
      </c>
      <c r="AH99" s="220" t="n">
        <f aca="false">Algae_electricity_factor/L99</f>
        <v>0.00288114551186783</v>
      </c>
      <c r="AI99" s="220" t="n">
        <f aca="false">Algae_electricity_factor/M99</f>
        <v>0.00275069156266622</v>
      </c>
      <c r="AJ99" s="220" t="n">
        <f aca="false">Algae_electricity_factor/N99</f>
        <v>0.00267799749573958</v>
      </c>
      <c r="AK99" s="220" t="n">
        <f aca="false">Algae_electricity_factor/O99</f>
        <v>0.00257428340757218</v>
      </c>
      <c r="AL99" s="220" t="n">
        <f aca="false">Algae_electricity_factor/P99</f>
        <v>0.00243664015522357</v>
      </c>
      <c r="AM99" s="220" t="n">
        <f aca="false">Algae_electricity_factor/Q99</f>
        <v>0.00227051104436109</v>
      </c>
      <c r="AN99" s="220" t="n">
        <f aca="false">Algae_electricity_factor/R99</f>
        <v>0.00209151394011585</v>
      </c>
      <c r="AO99" s="220" t="n">
        <f aca="false">Algae_electricity_factor/S99</f>
        <v>0.00192076367457856</v>
      </c>
      <c r="AP99" s="220" t="n">
        <f aca="false">Algae_electricity_factor/T99</f>
        <v>0.00177578904842785</v>
      </c>
      <c r="AQ99" s="220" t="n">
        <f aca="false">Algae_electricity_factor/U99</f>
        <v>0.00166438360170805</v>
      </c>
      <c r="AR99" s="220" t="n">
        <f aca="false">Algae_electricity_factor/V99</f>
        <v>0.00158515953519633</v>
      </c>
      <c r="AS99" s="220" t="n">
        <f aca="false">Algae_electricity_factor/W99</f>
        <v>0.00153187472779651</v>
      </c>
      <c r="AT99" s="220" t="n">
        <f aca="false">Algae_electricity_factor/X99</f>
        <v>0.00149736650487626</v>
      </c>
      <c r="AU99" s="220" t="n">
        <f aca="false">Algae_electricity_factor/Y99</f>
        <v>0.00147556268020233</v>
      </c>
      <c r="AV99" s="220" t="n">
        <f aca="false">Algae_electricity_factor/Z99</f>
        <v>0.00146199999656278</v>
      </c>
      <c r="AW99" s="220" t="n">
        <f aca="false">Algae_electricity_factor/AA99</f>
        <v>0.0014536455429065</v>
      </c>
      <c r="AX99" s="220" t="n">
        <f aca="false">Algae_electricity_factor/AB99</f>
        <v>0.00144853021512002</v>
      </c>
      <c r="AY99" s="220" t="n">
        <f aca="false">Algae_electricity_factor/AC99</f>
        <v>0.0014454097117967</v>
      </c>
      <c r="AZ99" s="221" t="n">
        <f aca="false">Algae_yield_cost_factor/H99</f>
        <v>0.159499604163406</v>
      </c>
      <c r="BA99" s="197" t="n">
        <f aca="false">Algae_yield_cost_factor/I99</f>
        <v>0.159499604163406</v>
      </c>
      <c r="BB99" s="197" t="n">
        <f aca="false">Algae_yield_cost_factor/J99</f>
        <v>0.159499604163406</v>
      </c>
      <c r="BC99" s="197" t="n">
        <f aca="false">Algae_yield_cost_factor/K99</f>
        <v>0.159499604163406</v>
      </c>
      <c r="BD99" s="197" t="n">
        <f aca="false">Algae_yield_cost_factor/L99</f>
        <v>0.159499604163406</v>
      </c>
      <c r="BE99" s="197" t="n">
        <f aca="false">Algae_yield_cost_factor/M99</f>
        <v>0.152277701217685</v>
      </c>
      <c r="BF99" s="197" t="n">
        <f aca="false">Algae_yield_cost_factor/N99</f>
        <v>0.148253373098169</v>
      </c>
      <c r="BG99" s="197" t="n">
        <f aca="false">Algae_yield_cost_factor/O99</f>
        <v>0.142511783185153</v>
      </c>
      <c r="BH99" s="197" t="n">
        <f aca="false">Algae_yield_cost_factor/P99</f>
        <v>0.134891881942771</v>
      </c>
      <c r="BI99" s="197" t="n">
        <f aca="false">Algae_yield_cost_factor/Q99</f>
        <v>0.125695009617705</v>
      </c>
      <c r="BJ99" s="197" t="n">
        <f aca="false">Algae_yield_cost_factor/R99</f>
        <v>0.115785767909534</v>
      </c>
      <c r="BK99" s="197" t="n">
        <f aca="false">Algae_yield_cost_factor/S99</f>
        <v>0.106333069442271</v>
      </c>
      <c r="BL99" s="197" t="n">
        <f aca="false">Algae_yield_cost_factor/T99</f>
        <v>0.0983073049019079</v>
      </c>
      <c r="BM99" s="197" t="n">
        <f aca="false">Algae_yield_cost_factor/U99</f>
        <v>0.0921399230115236</v>
      </c>
      <c r="BN99" s="197" t="n">
        <f aca="false">Algae_yield_cost_factor/V99</f>
        <v>0.0877540955006309</v>
      </c>
      <c r="BO99" s="197" t="n">
        <f aca="false">Algae_yield_cost_factor/W99</f>
        <v>0.0848042598699113</v>
      </c>
      <c r="BP99" s="197" t="n">
        <f aca="false">Algae_yield_cost_factor/X99</f>
        <v>0.0828938919716256</v>
      </c>
      <c r="BQ99" s="197" t="n">
        <f aca="false">Algae_yield_cost_factor/Y99</f>
        <v>0.0816868368644071</v>
      </c>
      <c r="BR99" s="197" t="n">
        <f aca="false">Algae_yield_cost_factor/Z99</f>
        <v>0.0809360095760974</v>
      </c>
      <c r="BS99" s="197" t="n">
        <f aca="false">Algae_yield_cost_factor/AA99</f>
        <v>0.080473508794485</v>
      </c>
      <c r="BT99" s="197" t="n">
        <f aca="false">Algae_yield_cost_factor/AB99</f>
        <v>0.080190325333688</v>
      </c>
      <c r="BU99" s="197" t="n">
        <f aca="false">Algae_yield_cost_factor/AC99</f>
        <v>0.080017574931874</v>
      </c>
    </row>
    <row r="100" customFormat="false" ht="15" hidden="false" customHeight="false" outlineLevel="0" collapsed="false">
      <c r="A100" s="18" t="s">
        <v>706</v>
      </c>
      <c r="B100" s="18" t="s">
        <v>22</v>
      </c>
      <c r="C100" s="18" t="s">
        <v>684</v>
      </c>
      <c r="D100" s="18" t="s">
        <v>684</v>
      </c>
      <c r="E100" s="28" t="n">
        <v>5.918986</v>
      </c>
      <c r="F100" s="185" t="n">
        <f aca="false">E100/$B$2*$F$3/1000</f>
        <v>0.0145015157</v>
      </c>
      <c r="G100" s="18" t="n">
        <f aca="false">LOOKUP(RIGHT(D100,5),Ref!$C$4:$C$21,Ref!$E$4:$E$21)*$G$3</f>
        <v>3.5</v>
      </c>
      <c r="H100" s="218" t="n">
        <f aca="false">$E100</f>
        <v>5.918986</v>
      </c>
      <c r="I100" s="177" t="n">
        <f aca="false">$E100</f>
        <v>5.918986</v>
      </c>
      <c r="J100" s="177" t="n">
        <f aca="false">$E100</f>
        <v>5.918986</v>
      </c>
      <c r="K100" s="177" t="n">
        <f aca="false">$E100</f>
        <v>5.918986</v>
      </c>
      <c r="L100" s="177" t="n">
        <f aca="false">$E100</f>
        <v>5.918986</v>
      </c>
      <c r="M100" s="177" t="n">
        <f aca="false">M$3*$E100</f>
        <v>6.19969907937579</v>
      </c>
      <c r="N100" s="177" t="n">
        <f aca="false">N$3*$E100</f>
        <v>6.36798950553122</v>
      </c>
      <c r="O100" s="177" t="n">
        <f aca="false">O$3*$E100</f>
        <v>6.62454642660801</v>
      </c>
      <c r="P100" s="177" t="n">
        <f aca="false">P$3*$E100</f>
        <v>6.99876012145249</v>
      </c>
      <c r="Q100" s="177" t="n">
        <f aca="false">Q$3*$E100</f>
        <v>7.5108465079091</v>
      </c>
      <c r="R100" s="177" t="n">
        <f aca="false">R$3*$E100</f>
        <v>8.15364393304686</v>
      </c>
      <c r="S100" s="177" t="n">
        <f aca="false">S$3*$E100</f>
        <v>8.878479</v>
      </c>
      <c r="T100" s="177" t="n">
        <f aca="false">T$3*$E100</f>
        <v>9.60331406695314</v>
      </c>
      <c r="U100" s="177" t="n">
        <f aca="false">U$3*$E100</f>
        <v>10.2461114920909</v>
      </c>
      <c r="V100" s="177" t="n">
        <f aca="false">V$3*$E100</f>
        <v>10.7581978785475</v>
      </c>
      <c r="W100" s="177" t="n">
        <f aca="false">W$3*$E100</f>
        <v>11.132411573392</v>
      </c>
      <c r="X100" s="177" t="n">
        <f aca="false">X$3*$E100</f>
        <v>11.3889684944688</v>
      </c>
      <c r="Y100" s="177" t="n">
        <f aca="false">Y$3*$E100</f>
        <v>11.5572589206242</v>
      </c>
      <c r="Z100" s="177" t="n">
        <f aca="false">Z$3*$E100</f>
        <v>11.664473316554</v>
      </c>
      <c r="AA100" s="177" t="n">
        <f aca="false">AA$3*$E100</f>
        <v>11.7315118750413</v>
      </c>
      <c r="AB100" s="177" t="n">
        <f aca="false">AB$3*$E100</f>
        <v>11.7729404403867</v>
      </c>
      <c r="AC100" s="177" t="n">
        <f aca="false">AC$3*$E100</f>
        <v>11.7983571090791</v>
      </c>
      <c r="AD100" s="219" t="n">
        <f aca="false">Algae_electricity_factor/H100</f>
        <v>0.0023219512773859</v>
      </c>
      <c r="AE100" s="220" t="n">
        <f aca="false">Algae_electricity_factor/I100</f>
        <v>0.0023219512773859</v>
      </c>
      <c r="AF100" s="220" t="n">
        <f aca="false">Algae_electricity_factor/J100</f>
        <v>0.0023219512773859</v>
      </c>
      <c r="AG100" s="220" t="n">
        <f aca="false">Algae_electricity_factor/K100</f>
        <v>0.0023219512773859</v>
      </c>
      <c r="AH100" s="220" t="n">
        <f aca="false">Algae_electricity_factor/L100</f>
        <v>0.0023219512773859</v>
      </c>
      <c r="AI100" s="220" t="n">
        <f aca="false">Algae_electricity_factor/M100</f>
        <v>0.00221681680474611</v>
      </c>
      <c r="AJ100" s="220" t="n">
        <f aca="false">Algae_electricity_factor/N100</f>
        <v>0.00215823174513582</v>
      </c>
      <c r="AK100" s="220" t="n">
        <f aca="false">Algae_electricity_factor/O100</f>
        <v>0.00207464726163395</v>
      </c>
      <c r="AL100" s="220" t="n">
        <f aca="false">Algae_electricity_factor/P100</f>
        <v>0.00196371883948453</v>
      </c>
      <c r="AM100" s="220" t="n">
        <f aca="false">Algae_electricity_factor/Q100</f>
        <v>0.00182983330694575</v>
      </c>
      <c r="AN100" s="220" t="n">
        <f aca="false">Algae_electricity_factor/R100</f>
        <v>0.00168557729726536</v>
      </c>
      <c r="AO100" s="220" t="n">
        <f aca="false">Algae_electricity_factor/S100</f>
        <v>0.00154796751825727</v>
      </c>
      <c r="AP100" s="220" t="n">
        <f aca="false">Algae_electricity_factor/T100</f>
        <v>0.00143113065007669</v>
      </c>
      <c r="AQ100" s="220" t="n">
        <f aca="false">Algae_electricity_factor/U100</f>
        <v>0.00134134760432171</v>
      </c>
      <c r="AR100" s="220" t="n">
        <f aca="false">Algae_electricity_factor/V100</f>
        <v>0.00127749993620538</v>
      </c>
      <c r="AS100" s="220" t="n">
        <f aca="false">Algae_electricity_factor/W100</f>
        <v>0.00123455704210383</v>
      </c>
      <c r="AT100" s="220" t="n">
        <f aca="false">Algae_electricity_factor/X100</f>
        <v>0.00120674643276114</v>
      </c>
      <c r="AU100" s="220" t="n">
        <f aca="false">Algae_electricity_factor/Y100</f>
        <v>0.00118917445718928</v>
      </c>
      <c r="AV100" s="220" t="n">
        <f aca="false">Algae_electricity_factor/Z100</f>
        <v>0.00117824412046317</v>
      </c>
      <c r="AW100" s="220" t="n">
        <f aca="false">Algae_electricity_factor/AA100</f>
        <v>0.00117151116155528</v>
      </c>
      <c r="AX100" s="220" t="n">
        <f aca="false">Algae_electricity_factor/AB100</f>
        <v>0.0011673886547818</v>
      </c>
      <c r="AY100" s="220" t="n">
        <f aca="false">Algae_electricity_factor/AC100</f>
        <v>0.00116487380204429</v>
      </c>
      <c r="AZ100" s="221" t="n">
        <f aca="false">Algae_yield_cost_factor/H100</f>
        <v>0.128542730002439</v>
      </c>
      <c r="BA100" s="197" t="n">
        <f aca="false">Algae_yield_cost_factor/I100</f>
        <v>0.128542730002439</v>
      </c>
      <c r="BB100" s="197" t="n">
        <f aca="false">Algae_yield_cost_factor/J100</f>
        <v>0.128542730002439</v>
      </c>
      <c r="BC100" s="197" t="n">
        <f aca="false">Algae_yield_cost_factor/K100</f>
        <v>0.128542730002439</v>
      </c>
      <c r="BD100" s="197" t="n">
        <f aca="false">Algae_yield_cost_factor/L100</f>
        <v>0.128542730002439</v>
      </c>
      <c r="BE100" s="197" t="n">
        <f aca="false">Algae_yield_cost_factor/M100</f>
        <v>0.122722507906436</v>
      </c>
      <c r="BF100" s="197" t="n">
        <f aca="false">Algae_yield_cost_factor/N100</f>
        <v>0.119479251438048</v>
      </c>
      <c r="BG100" s="197" t="n">
        <f aca="false">Algae_yield_cost_factor/O100</f>
        <v>0.114852032167853</v>
      </c>
      <c r="BH100" s="197" t="n">
        <f aca="false">Algae_yield_cost_factor/P100</f>
        <v>0.108711058256461</v>
      </c>
      <c r="BI100" s="197" t="n">
        <f aca="false">Algae_yield_cost_factor/Q100</f>
        <v>0.10129918358537</v>
      </c>
      <c r="BJ100" s="197" t="n">
        <f aca="false">Algae_yield_cost_factor/R100</f>
        <v>0.0933132015003144</v>
      </c>
      <c r="BK100" s="197" t="n">
        <f aca="false">Algae_yield_cost_factor/S100</f>
        <v>0.0856951533349595</v>
      </c>
      <c r="BL100" s="197" t="n">
        <f aca="false">Algae_yield_cost_factor/T100</f>
        <v>0.0792270891050439</v>
      </c>
      <c r="BM100" s="197" t="n">
        <f aca="false">Algae_yield_cost_factor/U100</f>
        <v>0.0742567187438397</v>
      </c>
      <c r="BN100" s="197" t="n">
        <f aca="false">Algae_yield_cost_factor/V100</f>
        <v>0.0707221253852733</v>
      </c>
      <c r="BO100" s="197" t="n">
        <f aca="false">Algae_yield_cost_factor/W100</f>
        <v>0.0683448158802121</v>
      </c>
      <c r="BP100" s="197" t="n">
        <f aca="false">Algae_yield_cost_factor/X100</f>
        <v>0.0668052264483594</v>
      </c>
      <c r="BQ100" s="197" t="n">
        <f aca="false">Algae_yield_cost_factor/Y100</f>
        <v>0.0658324456094408</v>
      </c>
      <c r="BR100" s="197" t="n">
        <f aca="false">Algae_yield_cost_factor/Z100</f>
        <v>0.0652273444876802</v>
      </c>
      <c r="BS100" s="197" t="n">
        <f aca="false">Algae_yield_cost_factor/AA100</f>
        <v>0.0648546093112605</v>
      </c>
      <c r="BT100" s="197" t="n">
        <f aca="false">Algae_yield_cost_factor/AB100</f>
        <v>0.0646263882110683</v>
      </c>
      <c r="BU100" s="197" t="n">
        <f aca="false">Algae_yield_cost_factor/AC100</f>
        <v>0.0644871664971671</v>
      </c>
    </row>
    <row r="101" customFormat="false" ht="15" hidden="false" customHeight="false" outlineLevel="0" collapsed="false">
      <c r="A101" s="18" t="s">
        <v>706</v>
      </c>
      <c r="B101" s="18" t="s">
        <v>22</v>
      </c>
      <c r="C101" s="18" t="s">
        <v>685</v>
      </c>
      <c r="D101" s="18" t="s">
        <v>685</v>
      </c>
      <c r="E101" s="28" t="n">
        <v>5.73832925</v>
      </c>
      <c r="F101" s="185" t="n">
        <f aca="false">E101/$B$2*$F$3/1000</f>
        <v>0.0140589066625</v>
      </c>
      <c r="G101" s="18" t="n">
        <f aca="false">LOOKUP(RIGHT(D101,5),Ref!$C$4:$C$21,Ref!$E$4:$E$21)*$G$3</f>
        <v>4</v>
      </c>
      <c r="H101" s="218" t="n">
        <f aca="false">$E101</f>
        <v>5.73832925</v>
      </c>
      <c r="I101" s="177" t="n">
        <f aca="false">$E101</f>
        <v>5.73832925</v>
      </c>
      <c r="J101" s="177" t="n">
        <f aca="false">$E101</f>
        <v>5.73832925</v>
      </c>
      <c r="K101" s="177" t="n">
        <f aca="false">$E101</f>
        <v>5.73832925</v>
      </c>
      <c r="L101" s="177" t="n">
        <f aca="false">$E101</f>
        <v>5.73832925</v>
      </c>
      <c r="M101" s="177" t="n">
        <f aca="false">M$3*$E101</f>
        <v>6.01047452526162</v>
      </c>
      <c r="N101" s="177" t="n">
        <f aca="false">N$3*$E101</f>
        <v>6.17362846326767</v>
      </c>
      <c r="O101" s="177" t="n">
        <f aca="false">O$3*$E101</f>
        <v>6.42235486412499</v>
      </c>
      <c r="P101" s="177" t="n">
        <f aca="false">P$3*$E101</f>
        <v>6.78514696920459</v>
      </c>
      <c r="Q101" s="177" t="n">
        <f aca="false">Q$3*$E101</f>
        <v>7.28160367478402</v>
      </c>
      <c r="R101" s="177" t="n">
        <f aca="false">R$3*$E101</f>
        <v>7.90478191282896</v>
      </c>
      <c r="S101" s="177" t="n">
        <f aca="false">S$3*$E101</f>
        <v>8.607493875</v>
      </c>
      <c r="T101" s="177" t="n">
        <f aca="false">T$3*$E101</f>
        <v>9.31020583717104</v>
      </c>
      <c r="U101" s="177" t="n">
        <f aca="false">U$3*$E101</f>
        <v>9.93338407521598</v>
      </c>
      <c r="V101" s="177" t="n">
        <f aca="false">V$3*$E101</f>
        <v>10.4298407807954</v>
      </c>
      <c r="W101" s="177" t="n">
        <f aca="false">W$3*$E101</f>
        <v>10.792632885875</v>
      </c>
      <c r="X101" s="177" t="n">
        <f aca="false">X$3*$E101</f>
        <v>11.0413592867323</v>
      </c>
      <c r="Y101" s="177" t="n">
        <f aca="false">Y$3*$E101</f>
        <v>11.2045132247384</v>
      </c>
      <c r="Z101" s="177" t="n">
        <f aca="false">Z$3*$E101</f>
        <v>11.3084552688967</v>
      </c>
      <c r="AA101" s="177" t="n">
        <f aca="false">AA$3*$E101</f>
        <v>11.3734477052779</v>
      </c>
      <c r="AB101" s="177" t="n">
        <f aca="false">AB$3*$E101</f>
        <v>11.4136118057348</v>
      </c>
      <c r="AC101" s="177" t="n">
        <f aca="false">AC$3*$E101</f>
        <v>11.4382527177753</v>
      </c>
      <c r="AD101" s="219" t="n">
        <f aca="false">Algae_electricity_factor/H101</f>
        <v>0.00239505202730033</v>
      </c>
      <c r="AE101" s="220" t="n">
        <f aca="false">Algae_electricity_factor/I101</f>
        <v>0.00239505202730033</v>
      </c>
      <c r="AF101" s="220" t="n">
        <f aca="false">Algae_electricity_factor/J101</f>
        <v>0.00239505202730033</v>
      </c>
      <c r="AG101" s="220" t="n">
        <f aca="false">Algae_electricity_factor/K101</f>
        <v>0.00239505202730033</v>
      </c>
      <c r="AH101" s="220" t="n">
        <f aca="false">Algae_electricity_factor/L101</f>
        <v>0.00239505202730033</v>
      </c>
      <c r="AI101" s="220" t="n">
        <f aca="false">Algae_electricity_factor/M101</f>
        <v>0.00228660766230118</v>
      </c>
      <c r="AJ101" s="220" t="n">
        <f aca="false">Algae_electricity_factor/N101</f>
        <v>0.00222617820059985</v>
      </c>
      <c r="AK101" s="220" t="n">
        <f aca="false">Algae_electricity_factor/O101</f>
        <v>0.00213996227151826</v>
      </c>
      <c r="AL101" s="220" t="n">
        <f aca="false">Algae_electricity_factor/P101</f>
        <v>0.0020255415491966</v>
      </c>
      <c r="AM101" s="220" t="n">
        <f aca="false">Algae_electricity_factor/Q101</f>
        <v>0.00188744097006034</v>
      </c>
      <c r="AN101" s="220" t="n">
        <f aca="false">Algae_electricity_factor/R101</f>
        <v>0.00173864342559841</v>
      </c>
      <c r="AO101" s="220" t="n">
        <f aca="false">Algae_electricity_factor/S101</f>
        <v>0.00159670135153355</v>
      </c>
      <c r="AP101" s="220" t="n">
        <f aca="false">Algae_electricity_factor/T101</f>
        <v>0.00147618617073512</v>
      </c>
      <c r="AQ101" s="220" t="n">
        <f aca="false">Algae_electricity_factor/U101</f>
        <v>0.00138357653338099</v>
      </c>
      <c r="AR101" s="220" t="n">
        <f aca="false">Algae_electricity_factor/V101</f>
        <v>0.00131771878328531</v>
      </c>
      <c r="AS101" s="220" t="n">
        <f aca="false">Algae_electricity_factor/W101</f>
        <v>0.00127342394102151</v>
      </c>
      <c r="AT101" s="220" t="n">
        <f aca="false">Algae_electricity_factor/X101</f>
        <v>0.00124473778514245</v>
      </c>
      <c r="AU101" s="220" t="n">
        <f aca="false">Algae_electricity_factor/Y101</f>
        <v>0.00122661260046397</v>
      </c>
      <c r="AV101" s="220" t="n">
        <f aca="false">Algae_electricity_factor/Z101</f>
        <v>0.00121533814979401</v>
      </c>
      <c r="AW101" s="220" t="n">
        <f aca="false">Algae_electricity_factor/AA101</f>
        <v>0.00120839322074269</v>
      </c>
      <c r="AX101" s="220" t="n">
        <f aca="false">Algae_electricity_factor/AB101</f>
        <v>0.00120414092729383</v>
      </c>
      <c r="AY101" s="220" t="n">
        <f aca="false">Algae_electricity_factor/AC101</f>
        <v>0.00120154690079293</v>
      </c>
      <c r="AZ101" s="221" t="n">
        <f aca="false">Algae_yield_cost_factor/H101</f>
        <v>0.132589572005862</v>
      </c>
      <c r="BA101" s="197" t="n">
        <f aca="false">Algae_yield_cost_factor/I101</f>
        <v>0.132589572005862</v>
      </c>
      <c r="BB101" s="197" t="n">
        <f aca="false">Algae_yield_cost_factor/J101</f>
        <v>0.132589572005862</v>
      </c>
      <c r="BC101" s="197" t="n">
        <f aca="false">Algae_yield_cost_factor/K101</f>
        <v>0.132589572005862</v>
      </c>
      <c r="BD101" s="197" t="n">
        <f aca="false">Algae_yield_cost_factor/L101</f>
        <v>0.132589572005862</v>
      </c>
      <c r="BE101" s="197" t="n">
        <f aca="false">Algae_yield_cost_factor/M101</f>
        <v>0.126586114971197</v>
      </c>
      <c r="BF101" s="197" t="n">
        <f aca="false">Algae_yield_cost_factor/N101</f>
        <v>0.123240752794428</v>
      </c>
      <c r="BG101" s="197" t="n">
        <f aca="false">Algae_yield_cost_factor/O101</f>
        <v>0.118467857255328</v>
      </c>
      <c r="BH101" s="197" t="n">
        <f aca="false">Algae_yield_cost_factor/P101</f>
        <v>0.11213355034746</v>
      </c>
      <c r="BI101" s="197" t="n">
        <f aca="false">Algae_yield_cost_factor/Q101</f>
        <v>0.104488331591157</v>
      </c>
      <c r="BJ101" s="197" t="n">
        <f aca="false">Algae_yield_cost_factor/R101</f>
        <v>0.0962509311043001</v>
      </c>
      <c r="BK101" s="197" t="n">
        <f aca="false">Algae_yield_cost_factor/S101</f>
        <v>0.0883930480039079</v>
      </c>
      <c r="BL101" s="197" t="n">
        <f aca="false">Algae_yield_cost_factor/T101</f>
        <v>0.0817213531679987</v>
      </c>
      <c r="BM101" s="197" t="n">
        <f aca="false">Algae_yield_cost_factor/U101</f>
        <v>0.0765945032956631</v>
      </c>
      <c r="BN101" s="197" t="n">
        <f aca="false">Algae_yield_cost_factor/V101</f>
        <v>0.0729486322252556</v>
      </c>
      <c r="BO101" s="197" t="n">
        <f aca="false">Algae_yield_cost_factor/W101</f>
        <v>0.0704964791568126</v>
      </c>
      <c r="BP101" s="197" t="n">
        <f aca="false">Algae_yield_cost_factor/X101</f>
        <v>0.068908419654496</v>
      </c>
      <c r="BQ101" s="197" t="n">
        <f aca="false">Algae_yield_cost_factor/Y101</f>
        <v>0.0679050132768247</v>
      </c>
      <c r="BR101" s="197" t="n">
        <f aca="false">Algae_yield_cost_factor/Z101</f>
        <v>0.0672808620801527</v>
      </c>
      <c r="BS101" s="197" t="n">
        <f aca="false">Algae_yield_cost_factor/AA101</f>
        <v>0.0668963922815723</v>
      </c>
      <c r="BT101" s="197" t="n">
        <f aca="false">Algae_yield_cost_factor/AB101</f>
        <v>0.066660986218572</v>
      </c>
      <c r="BU101" s="197" t="n">
        <f aca="false">Algae_yield_cost_factor/AC101</f>
        <v>0.0665173814619301</v>
      </c>
    </row>
    <row r="102" customFormat="false" ht="15" hidden="false" customHeight="false" outlineLevel="0" collapsed="false">
      <c r="A102" s="18" t="s">
        <v>706</v>
      </c>
      <c r="B102" s="18" t="s">
        <v>22</v>
      </c>
      <c r="C102" s="18" t="s">
        <v>686</v>
      </c>
      <c r="D102" s="18" t="s">
        <v>686</v>
      </c>
      <c r="E102" s="28" t="n">
        <v>6.0128275</v>
      </c>
      <c r="F102" s="185" t="n">
        <f aca="false">E102/$B$2*$F$3/1000</f>
        <v>0.014731427375</v>
      </c>
      <c r="G102" s="18" t="n">
        <f aca="false">LOOKUP(RIGHT(D102,5),Ref!$C$4:$C$21,Ref!$E$4:$E$21)*$G$3</f>
        <v>4.5</v>
      </c>
      <c r="H102" s="218" t="n">
        <f aca="false">$E102</f>
        <v>6.0128275</v>
      </c>
      <c r="I102" s="177" t="n">
        <f aca="false">$E102</f>
        <v>6.0128275</v>
      </c>
      <c r="J102" s="177" t="n">
        <f aca="false">$E102</f>
        <v>6.0128275</v>
      </c>
      <c r="K102" s="177" t="n">
        <f aca="false">$E102</f>
        <v>6.0128275</v>
      </c>
      <c r="L102" s="177" t="n">
        <f aca="false">$E102</f>
        <v>6.0128275</v>
      </c>
      <c r="M102" s="177" t="n">
        <f aca="false">M$3*$E102</f>
        <v>6.29799109445359</v>
      </c>
      <c r="N102" s="177" t="n">
        <f aca="false">N$3*$E102</f>
        <v>6.46894965093168</v>
      </c>
      <c r="O102" s="177" t="n">
        <f aca="false">O$3*$E102</f>
        <v>6.72957410761494</v>
      </c>
      <c r="P102" s="177" t="n">
        <f aca="false">P$3*$E102</f>
        <v>7.10972070624476</v>
      </c>
      <c r="Q102" s="177" t="n">
        <f aca="false">Q$3*$E102</f>
        <v>7.6299258743026</v>
      </c>
      <c r="R102" s="177" t="n">
        <f aca="false">R$3*$E102</f>
        <v>8.28291441571788</v>
      </c>
      <c r="S102" s="177" t="n">
        <f aca="false">S$3*$E102</f>
        <v>9.01924125</v>
      </c>
      <c r="T102" s="177" t="n">
        <f aca="false">T$3*$E102</f>
        <v>9.75556808428212</v>
      </c>
      <c r="U102" s="177" t="n">
        <f aca="false">U$3*$E102</f>
        <v>10.4085566256974</v>
      </c>
      <c r="V102" s="177" t="n">
        <f aca="false">V$3*$E102</f>
        <v>10.9287617937552</v>
      </c>
      <c r="W102" s="177" t="n">
        <f aca="false">W$3*$E102</f>
        <v>11.3089083923851</v>
      </c>
      <c r="X102" s="177" t="n">
        <f aca="false">X$3*$E102</f>
        <v>11.5695328490683</v>
      </c>
      <c r="Y102" s="177" t="n">
        <f aca="false">Y$3*$E102</f>
        <v>11.7404914055464</v>
      </c>
      <c r="Z102" s="177" t="n">
        <f aca="false">Z$3*$E102</f>
        <v>11.8494056128519</v>
      </c>
      <c r="AA102" s="177" t="n">
        <f aca="false">AA$3*$E102</f>
        <v>11.9175070221192</v>
      </c>
      <c r="AB102" s="177" t="n">
        <f aca="false">AB$3*$E102</f>
        <v>11.9595924092099</v>
      </c>
      <c r="AC102" s="177" t="n">
        <f aca="false">AC$3*$E102</f>
        <v>11.9854120419091</v>
      </c>
      <c r="AD102" s="219" t="n">
        <f aca="false">Algae_electricity_factor/H102</f>
        <v>0.00228571285364984</v>
      </c>
      <c r="AE102" s="220" t="n">
        <f aca="false">Algae_electricity_factor/I102</f>
        <v>0.00228571285364984</v>
      </c>
      <c r="AF102" s="220" t="n">
        <f aca="false">Algae_electricity_factor/J102</f>
        <v>0.00228571285364984</v>
      </c>
      <c r="AG102" s="220" t="n">
        <f aca="false">Algae_electricity_factor/K102</f>
        <v>0.00228571285364984</v>
      </c>
      <c r="AH102" s="220" t="n">
        <f aca="false">Algae_electricity_factor/L102</f>
        <v>0.00228571285364984</v>
      </c>
      <c r="AI102" s="220" t="n">
        <f aca="false">Algae_electricity_factor/M102</f>
        <v>0.00218221920250614</v>
      </c>
      <c r="AJ102" s="220" t="n">
        <f aca="false">Algae_electricity_factor/N102</f>
        <v>0.00212454847311261</v>
      </c>
      <c r="AK102" s="220" t="n">
        <f aca="false">Algae_electricity_factor/O102</f>
        <v>0.00204226848293081</v>
      </c>
      <c r="AL102" s="220" t="n">
        <f aca="false">Algae_electricity_factor/P102</f>
        <v>0.00193307130777411</v>
      </c>
      <c r="AM102" s="220" t="n">
        <f aca="false">Algae_electricity_factor/Q102</f>
        <v>0.0018012753111819</v>
      </c>
      <c r="AN102" s="220" t="n">
        <f aca="false">Algae_electricity_factor/R102</f>
        <v>0.0016592706882796</v>
      </c>
      <c r="AO102" s="220" t="n">
        <f aca="false">Algae_electricity_factor/S102</f>
        <v>0.0015238085690999</v>
      </c>
      <c r="AP102" s="220" t="n">
        <f aca="false">Algae_electricity_factor/T102</f>
        <v>0.00140879516034259</v>
      </c>
      <c r="AQ102" s="220" t="n">
        <f aca="false">Algae_electricity_factor/U102</f>
        <v>0.00132041334814839</v>
      </c>
      <c r="AR102" s="220" t="n">
        <f aca="false">Algae_electricity_factor/V102</f>
        <v>0.00125756214316817</v>
      </c>
      <c r="AS102" s="220" t="n">
        <f aca="false">Algae_electricity_factor/W102</f>
        <v>0.00121528945382417</v>
      </c>
      <c r="AT102" s="220" t="n">
        <f aca="false">Algae_electricity_factor/X102</f>
        <v>0.00118791288142944</v>
      </c>
      <c r="AU102" s="220" t="n">
        <f aca="false">Algae_electricity_factor/Y102</f>
        <v>0.00117061514963816</v>
      </c>
      <c r="AV102" s="220" t="n">
        <f aca="false">Algae_electricity_factor/Z102</f>
        <v>0.00115985540140705</v>
      </c>
      <c r="AW102" s="220" t="n">
        <f aca="false">Algae_electricity_factor/AA102</f>
        <v>0.00115322752300635</v>
      </c>
      <c r="AX102" s="220" t="n">
        <f aca="false">Algae_electricity_factor/AB102</f>
        <v>0.00114916935571697</v>
      </c>
      <c r="AY102" s="220" t="n">
        <f aca="false">Algae_electricity_factor/AC102</f>
        <v>0.00114669375199387</v>
      </c>
      <c r="AZ102" s="221" t="n">
        <f aca="false">Algae_yield_cost_factor/H102</f>
        <v>0.126536578554136</v>
      </c>
      <c r="BA102" s="197" t="n">
        <f aca="false">Algae_yield_cost_factor/I102</f>
        <v>0.126536578554136</v>
      </c>
      <c r="BB102" s="197" t="n">
        <f aca="false">Algae_yield_cost_factor/J102</f>
        <v>0.126536578554136</v>
      </c>
      <c r="BC102" s="197" t="n">
        <f aca="false">Algae_yield_cost_factor/K102</f>
        <v>0.126536578554136</v>
      </c>
      <c r="BD102" s="197" t="n">
        <f aca="false">Algae_yield_cost_factor/L102</f>
        <v>0.126536578554136</v>
      </c>
      <c r="BE102" s="197" t="n">
        <f aca="false">Algae_yield_cost_factor/M102</f>
        <v>0.120807191987976</v>
      </c>
      <c r="BF102" s="197" t="n">
        <f aca="false">Algae_yield_cost_factor/N102</f>
        <v>0.117614552646369</v>
      </c>
      <c r="BG102" s="197" t="n">
        <f aca="false">Algae_yield_cost_factor/O102</f>
        <v>0.113059549849563</v>
      </c>
      <c r="BH102" s="197" t="n">
        <f aca="false">Algae_yield_cost_factor/P102</f>
        <v>0.107014417404321</v>
      </c>
      <c r="BI102" s="197" t="n">
        <f aca="false">Algae_yield_cost_factor/Q102</f>
        <v>0.0997182189998355</v>
      </c>
      <c r="BJ102" s="197" t="n">
        <f aca="false">Algae_yield_cost_factor/R102</f>
        <v>0.0918568732090751</v>
      </c>
      <c r="BK102" s="197" t="n">
        <f aca="false">Algae_yield_cost_factor/S102</f>
        <v>0.0843577190360905</v>
      </c>
      <c r="BL102" s="197" t="n">
        <f aca="false">Algae_yield_cost_factor/T102</f>
        <v>0.0779906011329125</v>
      </c>
      <c r="BM102" s="197" t="n">
        <f aca="false">Algae_yield_cost_factor/U102</f>
        <v>0.0730978027642943</v>
      </c>
      <c r="BN102" s="197" t="n">
        <f aca="false">Algae_yield_cost_factor/V102</f>
        <v>0.0696183733934953</v>
      </c>
      <c r="BO102" s="197" t="n">
        <f aca="false">Algae_yield_cost_factor/W102</f>
        <v>0.067278166281596</v>
      </c>
      <c r="BP102" s="197" t="n">
        <f aca="false">Algae_yield_cost_factor/X102</f>
        <v>0.0657626050430798</v>
      </c>
      <c r="BQ102" s="197" t="n">
        <f aca="false">Algae_yield_cost_factor/Y102</f>
        <v>0.0648050062816606</v>
      </c>
      <c r="BR102" s="197" t="n">
        <f aca="false">Algae_yield_cost_factor/Z102</f>
        <v>0.0642093489027843</v>
      </c>
      <c r="BS102" s="197" t="n">
        <f aca="false">Algae_yield_cost_factor/AA102</f>
        <v>0.0638424309609448</v>
      </c>
      <c r="BT102" s="197" t="n">
        <f aca="false">Algae_yield_cost_factor/AB102</f>
        <v>0.0636177716809402</v>
      </c>
      <c r="BU102" s="197" t="n">
        <f aca="false">Algae_yield_cost_factor/AC102</f>
        <v>0.063480722784148</v>
      </c>
    </row>
    <row r="103" customFormat="false" ht="15" hidden="false" customHeight="false" outlineLevel="0" collapsed="false">
      <c r="A103" s="18" t="s">
        <v>706</v>
      </c>
      <c r="B103" s="18" t="s">
        <v>22</v>
      </c>
      <c r="C103" s="18" t="s">
        <v>687</v>
      </c>
      <c r="D103" s="18" t="s">
        <v>687</v>
      </c>
      <c r="E103" s="28" t="n">
        <v>6.23347</v>
      </c>
      <c r="F103" s="185" t="n">
        <f aca="false">E103/$B$2*$F$3/1000</f>
        <v>0.0152720015</v>
      </c>
      <c r="G103" s="18" t="n">
        <f aca="false">LOOKUP(RIGHT(D103,5),Ref!$C$4:$C$21,Ref!$E$4:$E$21)*$G$3</f>
        <v>4.5</v>
      </c>
      <c r="H103" s="218" t="n">
        <f aca="false">$E103</f>
        <v>6.23347</v>
      </c>
      <c r="I103" s="177" t="n">
        <f aca="false">$E103</f>
        <v>6.23347</v>
      </c>
      <c r="J103" s="177" t="n">
        <f aca="false">$E103</f>
        <v>6.23347</v>
      </c>
      <c r="K103" s="177" t="n">
        <f aca="false">$E103</f>
        <v>6.23347</v>
      </c>
      <c r="L103" s="177" t="n">
        <f aca="false">$E103</f>
        <v>6.23347</v>
      </c>
      <c r="M103" s="177" t="n">
        <f aca="false">M$3*$E103</f>
        <v>6.52909775767617</v>
      </c>
      <c r="N103" s="177" t="n">
        <f aca="false">N$3*$E103</f>
        <v>6.70632968941702</v>
      </c>
      <c r="O103" s="177" t="n">
        <f aca="false">O$3*$E103</f>
        <v>6.97651783833721</v>
      </c>
      <c r="P103" s="177" t="n">
        <f aca="false">P$3*$E103</f>
        <v>7.37061402988121</v>
      </c>
      <c r="Q103" s="177" t="n">
        <f aca="false">Q$3*$E103</f>
        <v>7.90990828186722</v>
      </c>
      <c r="R103" s="177" t="n">
        <f aca="false">R$3*$E103</f>
        <v>8.58685843273318</v>
      </c>
      <c r="S103" s="177" t="n">
        <f aca="false">S$3*$E103</f>
        <v>9.350205</v>
      </c>
      <c r="T103" s="177" t="n">
        <f aca="false">T$3*$E103</f>
        <v>10.1135515672668</v>
      </c>
      <c r="U103" s="177" t="n">
        <f aca="false">U$3*$E103</f>
        <v>10.7905017181328</v>
      </c>
      <c r="V103" s="177" t="n">
        <f aca="false">V$3*$E103</f>
        <v>11.3297959701188</v>
      </c>
      <c r="W103" s="177" t="n">
        <f aca="false">W$3*$E103</f>
        <v>11.7238921616628</v>
      </c>
      <c r="X103" s="177" t="n">
        <f aca="false">X$3*$E103</f>
        <v>11.994080310583</v>
      </c>
      <c r="Y103" s="177" t="n">
        <f aca="false">Y$3*$E103</f>
        <v>12.1713122423238</v>
      </c>
      <c r="Z103" s="177" t="n">
        <f aca="false">Z$3*$E103</f>
        <v>12.2842230889783</v>
      </c>
      <c r="AA103" s="177" t="n">
        <f aca="false">AA$3*$E103</f>
        <v>12.3548234997876</v>
      </c>
      <c r="AB103" s="177" t="n">
        <f aca="false">AB$3*$E103</f>
        <v>12.3984532227205</v>
      </c>
      <c r="AC103" s="177" t="n">
        <f aca="false">AC$3*$E103</f>
        <v>12.425220314549</v>
      </c>
      <c r="AD103" s="219" t="n">
        <f aca="false">Algae_electricity_factor/H103</f>
        <v>0.00220480680961475</v>
      </c>
      <c r="AE103" s="220" t="n">
        <f aca="false">Algae_electricity_factor/I103</f>
        <v>0.00220480680961475</v>
      </c>
      <c r="AF103" s="220" t="n">
        <f aca="false">Algae_electricity_factor/J103</f>
        <v>0.00220480680961475</v>
      </c>
      <c r="AG103" s="220" t="n">
        <f aca="false">Algae_electricity_factor/K103</f>
        <v>0.00220480680961475</v>
      </c>
      <c r="AH103" s="220" t="n">
        <f aca="false">Algae_electricity_factor/L103</f>
        <v>0.00220480680961475</v>
      </c>
      <c r="AI103" s="220" t="n">
        <f aca="false">Algae_electricity_factor/M103</f>
        <v>0.00210497646284605</v>
      </c>
      <c r="AJ103" s="220" t="n">
        <f aca="false">Algae_electricity_factor/N103</f>
        <v>0.00204934707060666</v>
      </c>
      <c r="AK103" s="220" t="n">
        <f aca="false">Algae_electricity_factor/O103</f>
        <v>0.0019699794972222</v>
      </c>
      <c r="AL103" s="220" t="n">
        <f aca="false">Algae_electricity_factor/P103</f>
        <v>0.00186464751075166</v>
      </c>
      <c r="AM103" s="220" t="n">
        <f aca="false">Algae_electricity_factor/Q103</f>
        <v>0.00173751662014024</v>
      </c>
      <c r="AN103" s="220" t="n">
        <f aca="false">Algae_electricity_factor/R103</f>
        <v>0.00160053845200691</v>
      </c>
      <c r="AO103" s="220" t="n">
        <f aca="false">Algae_electricity_factor/S103</f>
        <v>0.00146987120640983</v>
      </c>
      <c r="AP103" s="220" t="n">
        <f aca="false">Algae_electricity_factor/T103</f>
        <v>0.00135892886016534</v>
      </c>
      <c r="AQ103" s="220" t="n">
        <f aca="false">Algae_electricity_factor/U103</f>
        <v>0.00127367544740149</v>
      </c>
      <c r="AR103" s="220" t="n">
        <f aca="false">Algae_electricity_factor/V103</f>
        <v>0.00121304894984664</v>
      </c>
      <c r="AS103" s="220" t="n">
        <f aca="false">Algae_electricity_factor/W103</f>
        <v>0.00117227256221879</v>
      </c>
      <c r="AT103" s="220" t="n">
        <f aca="false">Algae_electricity_factor/X103</f>
        <v>0.0011458650223813</v>
      </c>
      <c r="AU103" s="220" t="n">
        <f aca="false">Algae_electricity_factor/Y103</f>
        <v>0.00112917956830801</v>
      </c>
      <c r="AV103" s="220" t="n">
        <f aca="false">Algae_electricity_factor/Z103</f>
        <v>0.0011188006766061</v>
      </c>
      <c r="AW103" s="220" t="n">
        <f aca="false">Algae_electricity_factor/AA103</f>
        <v>0.0011124074013494</v>
      </c>
      <c r="AX103" s="220" t="n">
        <f aca="false">Algae_electricity_factor/AB103</f>
        <v>0.00110849287863939</v>
      </c>
      <c r="AY103" s="220" t="n">
        <f aca="false">Algae_electricity_factor/AC103</f>
        <v>0.00110610490241662</v>
      </c>
      <c r="AZ103" s="221" t="n">
        <f aca="false">Algae_yield_cost_factor/H103</f>
        <v>0.122057637124462</v>
      </c>
      <c r="BA103" s="197" t="n">
        <f aca="false">Algae_yield_cost_factor/I103</f>
        <v>0.122057637124462</v>
      </c>
      <c r="BB103" s="197" t="n">
        <f aca="false">Algae_yield_cost_factor/J103</f>
        <v>0.122057637124462</v>
      </c>
      <c r="BC103" s="197" t="n">
        <f aca="false">Algae_yield_cost_factor/K103</f>
        <v>0.122057637124462</v>
      </c>
      <c r="BD103" s="197" t="n">
        <f aca="false">Algae_yield_cost_factor/L103</f>
        <v>0.122057637124462</v>
      </c>
      <c r="BE103" s="197" t="n">
        <f aca="false">Algae_yield_cost_factor/M103</f>
        <v>0.116531050311156</v>
      </c>
      <c r="BF103" s="197" t="n">
        <f aca="false">Algae_yield_cost_factor/N103</f>
        <v>0.113451418961235</v>
      </c>
      <c r="BG103" s="197" t="n">
        <f aca="false">Algae_yield_cost_factor/O103</f>
        <v>0.109057646940319</v>
      </c>
      <c r="BH103" s="197" t="n">
        <f aca="false">Algae_yield_cost_factor/P103</f>
        <v>0.103226490520557</v>
      </c>
      <c r="BI103" s="197" t="n">
        <f aca="false">Algae_yield_cost_factor/Q103</f>
        <v>0.0961885513932422</v>
      </c>
      <c r="BJ103" s="197" t="n">
        <f aca="false">Algae_yield_cost_factor/R103</f>
        <v>0.0886054690718877</v>
      </c>
      <c r="BK103" s="197" t="n">
        <f aca="false">Algae_yield_cost_factor/S103</f>
        <v>0.0813717580829744</v>
      </c>
      <c r="BL103" s="197" t="n">
        <f aca="false">Algae_yield_cost_factor/T103</f>
        <v>0.0752300133366339</v>
      </c>
      <c r="BM103" s="197" t="n">
        <f aca="false">Algae_yield_cost_factor/U103</f>
        <v>0.0705104024966391</v>
      </c>
      <c r="BN103" s="197" t="n">
        <f aca="false">Algae_yield_cost_factor/V103</f>
        <v>0.0671541324568302</v>
      </c>
      <c r="BO103" s="197" t="n">
        <f aca="false">Algae_yield_cost_factor/W103</f>
        <v>0.0648967602904246</v>
      </c>
      <c r="BP103" s="197" t="n">
        <f aca="false">Algae_yield_cost_factor/X103</f>
        <v>0.0634348444886506</v>
      </c>
      <c r="BQ103" s="197" t="n">
        <f aca="false">Algae_yield_cost_factor/Y103</f>
        <v>0.0625111412917752</v>
      </c>
      <c r="BR103" s="197" t="n">
        <f aca="false">Algae_yield_cost_factor/Z103</f>
        <v>0.0619365680495384</v>
      </c>
      <c r="BS103" s="197" t="n">
        <f aca="false">Algae_yield_cost_factor/AA103</f>
        <v>0.0615826376879684</v>
      </c>
      <c r="BT103" s="197" t="n">
        <f aca="false">Algae_yield_cost_factor/AB103</f>
        <v>0.0613659305413965</v>
      </c>
      <c r="BU103" s="197" t="n">
        <f aca="false">Algae_yield_cost_factor/AC103</f>
        <v>0.061233732684428</v>
      </c>
    </row>
    <row r="104" customFormat="false" ht="15" hidden="false" customHeight="false" outlineLevel="0" collapsed="false">
      <c r="A104" s="18" t="s">
        <v>706</v>
      </c>
      <c r="B104" s="18" t="s">
        <v>22</v>
      </c>
      <c r="C104" s="18" t="s">
        <v>688</v>
      </c>
      <c r="D104" s="18" t="s">
        <v>688</v>
      </c>
      <c r="E104" s="28" t="n">
        <v>7.3073</v>
      </c>
      <c r="F104" s="185" t="n">
        <f aca="false">E104/$B$2*$F$3/1000</f>
        <v>0.017902885</v>
      </c>
      <c r="G104" s="18" t="n">
        <f aca="false">LOOKUP(RIGHT(D104,5),Ref!$C$4:$C$21,Ref!$E$4:$E$21)*$G$3</f>
        <v>4.5</v>
      </c>
      <c r="H104" s="218" t="n">
        <f aca="false">$E104</f>
        <v>7.3073</v>
      </c>
      <c r="I104" s="177" t="n">
        <f aca="false">$E104</f>
        <v>7.3073</v>
      </c>
      <c r="J104" s="177" t="n">
        <f aca="false">$E104</f>
        <v>7.3073</v>
      </c>
      <c r="K104" s="177" t="n">
        <f aca="false">$E104</f>
        <v>7.3073</v>
      </c>
      <c r="L104" s="177" t="n">
        <f aca="false">$E104</f>
        <v>7.3073</v>
      </c>
      <c r="M104" s="177" t="n">
        <f aca="false">M$3*$E104</f>
        <v>7.65385508307043</v>
      </c>
      <c r="N104" s="177" t="n">
        <f aca="false">N$3*$E104</f>
        <v>7.86161847886923</v>
      </c>
      <c r="O104" s="177" t="n">
        <f aca="false">O$3*$E104</f>
        <v>8.17835151209222</v>
      </c>
      <c r="P104" s="177" t="n">
        <f aca="false">P$3*$E104</f>
        <v>8.64033803011019</v>
      </c>
      <c r="Q104" s="177" t="n">
        <f aca="false">Q$3*$E104</f>
        <v>9.27253564837697</v>
      </c>
      <c r="R104" s="177" t="n">
        <f aca="false">R$3*$E104</f>
        <v>10.0661029291087</v>
      </c>
      <c r="S104" s="177" t="n">
        <f aca="false">S$3*$E104</f>
        <v>10.96095</v>
      </c>
      <c r="T104" s="177" t="n">
        <f aca="false">T$3*$E104</f>
        <v>11.8557970708913</v>
      </c>
      <c r="U104" s="177" t="n">
        <f aca="false">U$3*$E104</f>
        <v>12.649364351623</v>
      </c>
      <c r="V104" s="177" t="n">
        <f aca="false">V$3*$E104</f>
        <v>13.2815619698898</v>
      </c>
      <c r="W104" s="177" t="n">
        <f aca="false">W$3*$E104</f>
        <v>13.7435484879078</v>
      </c>
      <c r="X104" s="177" t="n">
        <f aca="false">X$3*$E104</f>
        <v>14.0602815211308</v>
      </c>
      <c r="Y104" s="177" t="n">
        <f aca="false">Y$3*$E104</f>
        <v>14.2680449169296</v>
      </c>
      <c r="Z104" s="177" t="n">
        <f aca="false">Z$3*$E104</f>
        <v>14.4004067362306</v>
      </c>
      <c r="AA104" s="177" t="n">
        <f aca="false">AA$3*$E104</f>
        <v>14.483169367944</v>
      </c>
      <c r="AB104" s="177" t="n">
        <f aca="false">AB$3*$E104</f>
        <v>14.5343151141155</v>
      </c>
      <c r="AC104" s="177" t="n">
        <f aca="false">AC$3*$E104</f>
        <v>14.565693330441</v>
      </c>
      <c r="AD104" s="219" t="n">
        <f aca="false">Algae_electricity_factor/H104</f>
        <v>0.00188080373099904</v>
      </c>
      <c r="AE104" s="220" t="n">
        <f aca="false">Algae_electricity_factor/I104</f>
        <v>0.00188080373099904</v>
      </c>
      <c r="AF104" s="220" t="n">
        <f aca="false">Algae_electricity_factor/J104</f>
        <v>0.00188080373099904</v>
      </c>
      <c r="AG104" s="220" t="n">
        <f aca="false">Algae_electricity_factor/K104</f>
        <v>0.00188080373099904</v>
      </c>
      <c r="AH104" s="220" t="n">
        <f aca="false">Algae_electricity_factor/L104</f>
        <v>0.00188080373099904</v>
      </c>
      <c r="AI104" s="220" t="n">
        <f aca="false">Algae_electricity_factor/M104</f>
        <v>0.00179564375786638</v>
      </c>
      <c r="AJ104" s="220" t="n">
        <f aca="false">Algae_electricity_factor/N104</f>
        <v>0.00174818927431671</v>
      </c>
      <c r="AK104" s="220" t="n">
        <f aca="false">Algae_electricity_factor/O104</f>
        <v>0.00168048500767037</v>
      </c>
      <c r="AL104" s="220" t="n">
        <f aca="false">Algae_electricity_factor/P104</f>
        <v>0.00159063187755329</v>
      </c>
      <c r="AM104" s="220" t="n">
        <f aca="false">Algae_electricity_factor/Q104</f>
        <v>0.00148218325867907</v>
      </c>
      <c r="AN104" s="220" t="n">
        <f aca="false">Algae_electricity_factor/R104</f>
        <v>0.00136533444971898</v>
      </c>
      <c r="AO104" s="220" t="n">
        <f aca="false">Algae_electricity_factor/S104</f>
        <v>0.00125386915399936</v>
      </c>
      <c r="AP104" s="220" t="n">
        <f aca="false">Algae_electricity_factor/T104</f>
        <v>0.00115923012357161</v>
      </c>
      <c r="AQ104" s="220" t="n">
        <f aca="false">Algae_electricity_factor/U104</f>
        <v>0.00108650495957655</v>
      </c>
      <c r="AR104" s="220" t="n">
        <f aca="false">Algae_electricity_factor/V104</f>
        <v>0.00103478771056348</v>
      </c>
      <c r="AS104" s="220" t="n">
        <f aca="false">Algae_electricity_factor/W104</f>
        <v>0.00100000353734129</v>
      </c>
      <c r="AT104" s="220" t="n">
        <f aca="false">Algae_electricity_factor/X104</f>
        <v>0.000977476665945446</v>
      </c>
      <c r="AU104" s="220" t="n">
        <f aca="false">Algae_electricity_factor/Y104</f>
        <v>0.000963243190188024</v>
      </c>
      <c r="AV104" s="220" t="n">
        <f aca="false">Algae_electricity_factor/Z104</f>
        <v>0.000954389508245704</v>
      </c>
      <c r="AW104" s="220" t="n">
        <f aca="false">Algae_electricity_factor/AA104</f>
        <v>0.000948935744267987</v>
      </c>
      <c r="AX104" s="220" t="n">
        <f aca="false">Algae_electricity_factor/AB104</f>
        <v>0.000945596472597579</v>
      </c>
      <c r="AY104" s="220" t="n">
        <f aca="false">Algae_electricity_factor/AC104</f>
        <v>0.000943559416756797</v>
      </c>
      <c r="AZ104" s="221" t="n">
        <f aca="false">Algae_yield_cost_factor/H104</f>
        <v>0.104120895445133</v>
      </c>
      <c r="BA104" s="197" t="n">
        <f aca="false">Algae_yield_cost_factor/I104</f>
        <v>0.104120895445133</v>
      </c>
      <c r="BB104" s="197" t="n">
        <f aca="false">Algae_yield_cost_factor/J104</f>
        <v>0.104120895445133</v>
      </c>
      <c r="BC104" s="197" t="n">
        <f aca="false">Algae_yield_cost_factor/K104</f>
        <v>0.104120895445133</v>
      </c>
      <c r="BD104" s="197" t="n">
        <f aca="false">Algae_yield_cost_factor/L104</f>
        <v>0.104120895445133</v>
      </c>
      <c r="BE104" s="197" t="n">
        <f aca="false">Algae_yield_cost_factor/M104</f>
        <v>0.0994064574032929</v>
      </c>
      <c r="BF104" s="197" t="n">
        <f aca="false">Algae_yield_cost_factor/N104</f>
        <v>0.0967793872637346</v>
      </c>
      <c r="BG104" s="197" t="n">
        <f aca="false">Algae_yield_cost_factor/O104</f>
        <v>0.0930312934289096</v>
      </c>
      <c r="BH104" s="197" t="n">
        <f aca="false">Algae_yield_cost_factor/P104</f>
        <v>0.0880570432122914</v>
      </c>
      <c r="BI104" s="197" t="n">
        <f aca="false">Algae_yield_cost_factor/Q104</f>
        <v>0.0820533506840055</v>
      </c>
      <c r="BJ104" s="197" t="n">
        <f aca="false">Algae_yield_cost_factor/R104</f>
        <v>0.0755846254150699</v>
      </c>
      <c r="BK104" s="197" t="n">
        <f aca="false">Algae_yield_cost_factor/S104</f>
        <v>0.0694139302967551</v>
      </c>
      <c r="BL104" s="197" t="n">
        <f aca="false">Algae_yield_cost_factor/T104</f>
        <v>0.0641747336544972</v>
      </c>
      <c r="BM104" s="197" t="n">
        <f aca="false">Algae_yield_cost_factor/U104</f>
        <v>0.0601486840078723</v>
      </c>
      <c r="BN104" s="197" t="n">
        <f aca="false">Algae_yield_cost_factor/V104</f>
        <v>0.0572856280768105</v>
      </c>
      <c r="BO104" s="197" t="n">
        <f aca="false">Algae_yield_cost_factor/W104</f>
        <v>0.0553599836283652</v>
      </c>
      <c r="BP104" s="197" t="n">
        <f aca="false">Algae_yield_cost_factor/X104</f>
        <v>0.0541129008080507</v>
      </c>
      <c r="BQ104" s="197" t="n">
        <f aca="false">Algae_yield_cost_factor/Y104</f>
        <v>0.0533249386104364</v>
      </c>
      <c r="BR104" s="197" t="n">
        <f aca="false">Algae_yield_cost_factor/Z104</f>
        <v>0.052834800656844</v>
      </c>
      <c r="BS104" s="197" t="n">
        <f aca="false">Algae_yield_cost_factor/AA104</f>
        <v>0.0525328814403159</v>
      </c>
      <c r="BT104" s="197" t="n">
        <f aca="false">Algae_yield_cost_factor/AB104</f>
        <v>0.0523480200692292</v>
      </c>
      <c r="BU104" s="197" t="n">
        <f aca="false">Algae_yield_cost_factor/AC104</f>
        <v>0.0522352490901429</v>
      </c>
    </row>
    <row r="105" customFormat="false" ht="15" hidden="false" customHeight="false" outlineLevel="0" collapsed="false">
      <c r="A105" s="18" t="s">
        <v>707</v>
      </c>
      <c r="B105" s="18" t="s">
        <v>22</v>
      </c>
      <c r="C105" s="18" t="s">
        <v>684</v>
      </c>
      <c r="D105" s="18" t="s">
        <v>684</v>
      </c>
      <c r="E105" s="28" t="n">
        <v>4.667255</v>
      </c>
      <c r="F105" s="185" t="n">
        <f aca="false">E105/$B$2*$F$3/1000</f>
        <v>0.01143477475</v>
      </c>
      <c r="G105" s="18" t="n">
        <f aca="false">LOOKUP(RIGHT(D105,5),Ref!$C$4:$C$21,Ref!$E$4:$E$21)*$G$3</f>
        <v>3.5</v>
      </c>
      <c r="H105" s="218" t="n">
        <f aca="false">$E105</f>
        <v>4.667255</v>
      </c>
      <c r="I105" s="177" t="n">
        <f aca="false">$E105</f>
        <v>4.667255</v>
      </c>
      <c r="J105" s="177" t="n">
        <f aca="false">$E105</f>
        <v>4.667255</v>
      </c>
      <c r="K105" s="177" t="n">
        <f aca="false">$E105</f>
        <v>4.667255</v>
      </c>
      <c r="L105" s="177" t="n">
        <f aca="false">$E105</f>
        <v>4.667255</v>
      </c>
      <c r="M105" s="177" t="n">
        <f aca="false">M$3*$E105</f>
        <v>4.88860364371736</v>
      </c>
      <c r="N105" s="177" t="n">
        <f aca="false">N$3*$E105</f>
        <v>5.02130446999505</v>
      </c>
      <c r="O105" s="177" t="n">
        <f aca="false">O$3*$E105</f>
        <v>5.22360543382234</v>
      </c>
      <c r="P105" s="177" t="n">
        <f aca="false">P$3*$E105</f>
        <v>5.51868143811284</v>
      </c>
      <c r="Q105" s="177" t="n">
        <f aca="false">Q$3*$E105</f>
        <v>5.92247319359622</v>
      </c>
      <c r="R105" s="177" t="n">
        <f aca="false">R$3*$E105</f>
        <v>6.42933357415149</v>
      </c>
      <c r="S105" s="177" t="n">
        <f aca="false">S$3*$E105</f>
        <v>7.0008825</v>
      </c>
      <c r="T105" s="177" t="n">
        <f aca="false">T$3*$E105</f>
        <v>7.57243142584851</v>
      </c>
      <c r="U105" s="177" t="n">
        <f aca="false">U$3*$E105</f>
        <v>8.07929180640378</v>
      </c>
      <c r="V105" s="177" t="n">
        <f aca="false">V$3*$E105</f>
        <v>8.48308356188717</v>
      </c>
      <c r="W105" s="177" t="n">
        <f aca="false">W$3*$E105</f>
        <v>8.77815956617766</v>
      </c>
      <c r="X105" s="177" t="n">
        <f aca="false">X$3*$E105</f>
        <v>8.98046053000495</v>
      </c>
      <c r="Y105" s="177" t="n">
        <f aca="false">Y$3*$E105</f>
        <v>9.11316135628264</v>
      </c>
      <c r="Z105" s="177" t="n">
        <f aca="false">Z$3*$E105</f>
        <v>9.19770234446458</v>
      </c>
      <c r="AA105" s="177" t="n">
        <f aca="false">AA$3*$E105</f>
        <v>9.25056377162338</v>
      </c>
      <c r="AB105" s="177" t="n">
        <f aca="false">AB$3*$E105</f>
        <v>9.28323113707265</v>
      </c>
      <c r="AC105" s="177" t="n">
        <f aca="false">AC$3*$E105</f>
        <v>9.30327275805938</v>
      </c>
      <c r="AD105" s="219" t="n">
        <f aca="false">Algae_electricity_factor/H105</f>
        <v>0.00294468528150471</v>
      </c>
      <c r="AE105" s="220" t="n">
        <f aca="false">Algae_electricity_factor/I105</f>
        <v>0.00294468528150471</v>
      </c>
      <c r="AF105" s="220" t="n">
        <f aca="false">Algae_electricity_factor/J105</f>
        <v>0.00294468528150471</v>
      </c>
      <c r="AG105" s="220" t="n">
        <f aca="false">Algae_electricity_factor/K105</f>
        <v>0.00294468528150471</v>
      </c>
      <c r="AH105" s="220" t="n">
        <f aca="false">Algae_electricity_factor/L105</f>
        <v>0.00294468528150471</v>
      </c>
      <c r="AI105" s="220" t="n">
        <f aca="false">Algae_electricity_factor/M105</f>
        <v>0.00281135434679634</v>
      </c>
      <c r="AJ105" s="220" t="n">
        <f aca="false">Algae_electricity_factor/N105</f>
        <v>0.00273705711048882</v>
      </c>
      <c r="AK105" s="220" t="n">
        <f aca="false">Algae_electricity_factor/O105</f>
        <v>0.00263105574830381</v>
      </c>
      <c r="AL105" s="220" t="n">
        <f aca="false">Algae_electricity_factor/P105</f>
        <v>0.00249037696008578</v>
      </c>
      <c r="AM105" s="220" t="n">
        <f aca="false">Algae_electricity_factor/Q105</f>
        <v>0.00232058409625049</v>
      </c>
      <c r="AN105" s="220" t="n">
        <f aca="false">Algae_electricity_factor/R105</f>
        <v>0.00213763945283288</v>
      </c>
      <c r="AO105" s="220" t="n">
        <f aca="false">Algae_electricity_factor/S105</f>
        <v>0.00196312352100314</v>
      </c>
      <c r="AP105" s="220" t="n">
        <f aca="false">Algae_electricity_factor/T105</f>
        <v>0.00181495167544409</v>
      </c>
      <c r="AQ105" s="220" t="n">
        <f aca="false">Algae_electricity_factor/U105</f>
        <v>0.00170108933219071</v>
      </c>
      <c r="AR105" s="220" t="n">
        <f aca="false">Algae_electricity_factor/V105</f>
        <v>0.00162011808598427</v>
      </c>
      <c r="AS105" s="220" t="n">
        <f aca="false">Algae_electricity_factor/W105</f>
        <v>0.0015656581541857</v>
      </c>
      <c r="AT105" s="220" t="n">
        <f aca="false">Algae_electricity_factor/X105</f>
        <v>0.0015303888990559</v>
      </c>
      <c r="AU105" s="220" t="n">
        <f aca="false">Algae_electricity_factor/Y105</f>
        <v>0.0015081042205024</v>
      </c>
      <c r="AV105" s="220" t="n">
        <f aca="false">Algae_electricity_factor/Z105</f>
        <v>0.00149424243020873</v>
      </c>
      <c r="AW105" s="220" t="n">
        <f aca="false">Algae_electricity_factor/AA105</f>
        <v>0.00148570373037031</v>
      </c>
      <c r="AX105" s="220" t="n">
        <f aca="false">Algae_electricity_factor/AB105</f>
        <v>0.0014804755909442</v>
      </c>
      <c r="AY105" s="220" t="n">
        <f aca="false">Algae_electricity_factor/AC105</f>
        <v>0.00147728626913827</v>
      </c>
      <c r="AZ105" s="221" t="n">
        <f aca="false">Algae_yield_cost_factor/H105</f>
        <v>0.163017152327485</v>
      </c>
      <c r="BA105" s="197" t="n">
        <f aca="false">Algae_yield_cost_factor/I105</f>
        <v>0.163017152327485</v>
      </c>
      <c r="BB105" s="197" t="n">
        <f aca="false">Algae_yield_cost_factor/J105</f>
        <v>0.163017152327485</v>
      </c>
      <c r="BC105" s="197" t="n">
        <f aca="false">Algae_yield_cost_factor/K105</f>
        <v>0.163017152327485</v>
      </c>
      <c r="BD105" s="197" t="n">
        <f aca="false">Algae_yield_cost_factor/L105</f>
        <v>0.163017152327485</v>
      </c>
      <c r="BE105" s="197" t="n">
        <f aca="false">Algae_yield_cost_factor/M105</f>
        <v>0.155635980074601</v>
      </c>
      <c r="BF105" s="197" t="n">
        <f aca="false">Algae_yield_cost_factor/N105</f>
        <v>0.151522900838349</v>
      </c>
      <c r="BG105" s="197" t="n">
        <f aca="false">Algae_yield_cost_factor/O105</f>
        <v>0.145654687921074</v>
      </c>
      <c r="BH105" s="197" t="n">
        <f aca="false">Algae_yield_cost_factor/P105</f>
        <v>0.137866740057095</v>
      </c>
      <c r="BI105" s="197" t="n">
        <f aca="false">Algae_yield_cost_factor/Q105</f>
        <v>0.128467043144896</v>
      </c>
      <c r="BJ105" s="197" t="n">
        <f aca="false">Algae_yield_cost_factor/R105</f>
        <v>0.118339266505803</v>
      </c>
      <c r="BK105" s="197" t="n">
        <f aca="false">Algae_yield_cost_factor/S105</f>
        <v>0.108678101551657</v>
      </c>
      <c r="BL105" s="197" t="n">
        <f aca="false">Algae_yield_cost_factor/T105</f>
        <v>0.100475339623292</v>
      </c>
      <c r="BM105" s="197" t="n">
        <f aca="false">Algae_yield_cost_factor/U105</f>
        <v>0.0941719444621571</v>
      </c>
      <c r="BN105" s="197" t="n">
        <f aca="false">Algae_yield_cost_factor/V105</f>
        <v>0.0896893934541132</v>
      </c>
      <c r="BO105" s="197" t="n">
        <f aca="false">Algae_yield_cost_factor/W105</f>
        <v>0.0866745031860383</v>
      </c>
      <c r="BP105" s="197" t="n">
        <f aca="false">Algae_yield_cost_factor/X105</f>
        <v>0.0847220047061215</v>
      </c>
      <c r="BQ105" s="197" t="n">
        <f aca="false">Algae_yield_cost_factor/Y105</f>
        <v>0.0834883296301663</v>
      </c>
      <c r="BR105" s="197" t="n">
        <f aca="false">Algae_yield_cost_factor/Z105</f>
        <v>0.0827209438609538</v>
      </c>
      <c r="BS105" s="197" t="n">
        <f aca="false">Algae_yield_cost_factor/AA105</f>
        <v>0.0822482432497947</v>
      </c>
      <c r="BT105" s="197" t="n">
        <f aca="false">Algae_yield_cost_factor/AB105</f>
        <v>0.0819588145605669</v>
      </c>
      <c r="BU105" s="197" t="n">
        <f aca="false">Algae_yield_cost_factor/AC105</f>
        <v>0.0817822543821586</v>
      </c>
    </row>
    <row r="106" customFormat="false" ht="15" hidden="false" customHeight="false" outlineLevel="0" collapsed="false">
      <c r="A106" s="18" t="s">
        <v>707</v>
      </c>
      <c r="B106" s="18" t="s">
        <v>22</v>
      </c>
      <c r="C106" s="18" t="s">
        <v>685</v>
      </c>
      <c r="D106" s="18" t="s">
        <v>685</v>
      </c>
      <c r="E106" s="28" t="n">
        <v>4.84063</v>
      </c>
      <c r="F106" s="185" t="n">
        <f aca="false">E106/$B$2*$F$3/1000</f>
        <v>0.0118595435</v>
      </c>
      <c r="G106" s="18" t="n">
        <f aca="false">LOOKUP(RIGHT(D106,5),Ref!$C$4:$C$21,Ref!$E$4:$E$21)*$G$3</f>
        <v>4</v>
      </c>
      <c r="H106" s="218" t="n">
        <f aca="false">$E106</f>
        <v>4.84063</v>
      </c>
      <c r="I106" s="177" t="n">
        <f aca="false">$E106</f>
        <v>4.84063</v>
      </c>
      <c r="J106" s="177" t="n">
        <f aca="false">$E106</f>
        <v>4.84063</v>
      </c>
      <c r="K106" s="177" t="n">
        <f aca="false">$E106</f>
        <v>4.84063</v>
      </c>
      <c r="L106" s="177" t="n">
        <f aca="false">$E106</f>
        <v>4.84063</v>
      </c>
      <c r="M106" s="177" t="n">
        <f aca="false">M$3*$E106</f>
        <v>5.07020110447952</v>
      </c>
      <c r="N106" s="177" t="n">
        <f aca="false">N$3*$E106</f>
        <v>5.20783138195623</v>
      </c>
      <c r="O106" s="177" t="n">
        <f aca="false">O$3*$E106</f>
        <v>5.41764724042792</v>
      </c>
      <c r="P106" s="177" t="n">
        <f aca="false">P$3*$E106</f>
        <v>5.72368446330276</v>
      </c>
      <c r="Q106" s="177" t="n">
        <f aca="false">Q$3*$E106</f>
        <v>6.14247591252624</v>
      </c>
      <c r="R106" s="177" t="n">
        <f aca="false">R$3*$E106</f>
        <v>6.66816468760437</v>
      </c>
      <c r="S106" s="177" t="n">
        <f aca="false">S$3*$E106</f>
        <v>7.260945</v>
      </c>
      <c r="T106" s="177" t="n">
        <f aca="false">T$3*$E106</f>
        <v>7.85372531239563</v>
      </c>
      <c r="U106" s="177" t="n">
        <f aca="false">U$3*$E106</f>
        <v>8.37941408747376</v>
      </c>
      <c r="V106" s="177" t="n">
        <f aca="false">V$3*$E106</f>
        <v>8.79820553669724</v>
      </c>
      <c r="W106" s="177" t="n">
        <f aca="false">W$3*$E106</f>
        <v>9.10424275957208</v>
      </c>
      <c r="X106" s="177" t="n">
        <f aca="false">X$3*$E106</f>
        <v>9.31405861804377</v>
      </c>
      <c r="Y106" s="177" t="n">
        <f aca="false">Y$3*$E106</f>
        <v>9.45168889552047</v>
      </c>
      <c r="Z106" s="177" t="n">
        <f aca="false">Z$3*$E106</f>
        <v>9.53937033645806</v>
      </c>
      <c r="AA106" s="177" t="n">
        <f aca="false">AA$3*$E106</f>
        <v>9.5941954124712</v>
      </c>
      <c r="AB106" s="177" t="n">
        <f aca="false">AB$3*$E106</f>
        <v>9.62807627589407</v>
      </c>
      <c r="AC106" s="177" t="n">
        <f aca="false">AC$3*$E106</f>
        <v>9.64886238503038</v>
      </c>
      <c r="AD106" s="219" t="n">
        <f aca="false">Algae_electricity_factor/H106</f>
        <v>0.00283921661096371</v>
      </c>
      <c r="AE106" s="220" t="n">
        <f aca="false">Algae_electricity_factor/I106</f>
        <v>0.00283921661096371</v>
      </c>
      <c r="AF106" s="220" t="n">
        <f aca="false">Algae_electricity_factor/J106</f>
        <v>0.00283921661096371</v>
      </c>
      <c r="AG106" s="220" t="n">
        <f aca="false">Algae_electricity_factor/K106</f>
        <v>0.00283921661096371</v>
      </c>
      <c r="AH106" s="220" t="n">
        <f aca="false">Algae_electricity_factor/L106</f>
        <v>0.00283921661096371</v>
      </c>
      <c r="AI106" s="220" t="n">
        <f aca="false">Algae_electricity_factor/M106</f>
        <v>0.00271066113953287</v>
      </c>
      <c r="AJ106" s="220" t="n">
        <f aca="false">Algae_electricity_factor/N106</f>
        <v>0.00263902497902432</v>
      </c>
      <c r="AK106" s="220" t="n">
        <f aca="false">Algae_electricity_factor/O106</f>
        <v>0.00253682022723275</v>
      </c>
      <c r="AL106" s="220" t="n">
        <f aca="false">Algae_electricity_factor/P106</f>
        <v>0.00240118007756122</v>
      </c>
      <c r="AM106" s="220" t="n">
        <f aca="false">Algae_electricity_factor/Q106</f>
        <v>0.00223746862002376</v>
      </c>
      <c r="AN106" s="220" t="n">
        <f aca="false">Algae_electricity_factor/R106</f>
        <v>0.00206107643518127</v>
      </c>
      <c r="AO106" s="220" t="n">
        <f aca="false">Algae_electricity_factor/S106</f>
        <v>0.00189281107397581</v>
      </c>
      <c r="AP106" s="220" t="n">
        <f aca="false">Algae_electricity_factor/T106</f>
        <v>0.00174994624294251</v>
      </c>
      <c r="AQ106" s="220" t="n">
        <f aca="false">Algae_electricity_factor/U106</f>
        <v>0.00164016206384577</v>
      </c>
      <c r="AR106" s="220" t="n">
        <f aca="false">Algae_electricity_factor/V106</f>
        <v>0.00156209093390747</v>
      </c>
      <c r="AS106" s="220" t="n">
        <f aca="false">Algae_electricity_factor/W106</f>
        <v>0.00150958157273206</v>
      </c>
      <c r="AT106" s="220" t="n">
        <f aca="false">Algae_electricity_factor/X106</f>
        <v>0.00147557554307252</v>
      </c>
      <c r="AU106" s="220" t="n">
        <f aca="false">Algae_electricity_factor/Y106</f>
        <v>0.00145408902635834</v>
      </c>
      <c r="AV106" s="220" t="n">
        <f aca="false">Algae_electricity_factor/Z106</f>
        <v>0.00144072371852503</v>
      </c>
      <c r="AW106" s="220" t="n">
        <f aca="false">Algae_electricity_factor/AA106</f>
        <v>0.00143249084604472</v>
      </c>
      <c r="AX106" s="220" t="n">
        <f aca="false">Algae_electricity_factor/AB106</f>
        <v>0.00142744996089606</v>
      </c>
      <c r="AY106" s="220" t="n">
        <f aca="false">Algae_electricity_factor/AC106</f>
        <v>0.00142437486981384</v>
      </c>
      <c r="AZ106" s="221" t="n">
        <f aca="false">Algae_yield_cost_factor/H106</f>
        <v>0.157178429106587</v>
      </c>
      <c r="BA106" s="197" t="n">
        <f aca="false">Algae_yield_cost_factor/I106</f>
        <v>0.157178429106587</v>
      </c>
      <c r="BB106" s="197" t="n">
        <f aca="false">Algae_yield_cost_factor/J106</f>
        <v>0.157178429106587</v>
      </c>
      <c r="BC106" s="197" t="n">
        <f aca="false">Algae_yield_cost_factor/K106</f>
        <v>0.157178429106587</v>
      </c>
      <c r="BD106" s="197" t="n">
        <f aca="false">Algae_yield_cost_factor/L106</f>
        <v>0.157178429106587</v>
      </c>
      <c r="BE106" s="197" t="n">
        <f aca="false">Algae_yield_cost_factor/M106</f>
        <v>0.150061625487402</v>
      </c>
      <c r="BF106" s="197" t="n">
        <f aca="false">Algae_yield_cost_factor/N106</f>
        <v>0.146095862842706</v>
      </c>
      <c r="BG106" s="197" t="n">
        <f aca="false">Algae_yield_cost_factor/O106</f>
        <v>0.140437829471179</v>
      </c>
      <c r="BH106" s="197" t="n">
        <f aca="false">Algae_yield_cost_factor/P106</f>
        <v>0.132928819567944</v>
      </c>
      <c r="BI106" s="197" t="n">
        <f aca="false">Algae_yield_cost_factor/Q106</f>
        <v>0.12386578801793</v>
      </c>
      <c r="BJ106" s="197" t="n">
        <f aca="false">Algae_yield_cost_factor/R106</f>
        <v>0.114100754095136</v>
      </c>
      <c r="BK106" s="197" t="n">
        <f aca="false">Algae_yield_cost_factor/S106</f>
        <v>0.104785619404391</v>
      </c>
      <c r="BL106" s="197" t="n">
        <f aca="false">Algae_yield_cost_factor/T106</f>
        <v>0.0968766526740336</v>
      </c>
      <c r="BM106" s="197" t="n">
        <f aca="false">Algae_yield_cost_factor/U106</f>
        <v>0.0907990238152317</v>
      </c>
      <c r="BN106" s="197" t="n">
        <f aca="false">Algae_yield_cost_factor/V106</f>
        <v>0.0864770226283928</v>
      </c>
      <c r="BO106" s="197" t="n">
        <f aca="false">Algae_yield_cost_factor/W106</f>
        <v>0.0835701155361085</v>
      </c>
      <c r="BP106" s="197" t="n">
        <f aca="false">Algae_yield_cost_factor/X106</f>
        <v>0.0816875489501716</v>
      </c>
      <c r="BQ106" s="197" t="n">
        <f aca="false">Algae_yield_cost_factor/Y106</f>
        <v>0.0804980599442721</v>
      </c>
      <c r="BR106" s="197" t="n">
        <f aca="false">Algae_yield_cost_factor/Z106</f>
        <v>0.0797581593387133</v>
      </c>
      <c r="BS106" s="197" t="n">
        <f aca="false">Algae_yield_cost_factor/AA106</f>
        <v>0.0793023892652032</v>
      </c>
      <c r="BT106" s="197" t="n">
        <f aca="false">Algae_yield_cost_factor/AB106</f>
        <v>0.0790233269330394</v>
      </c>
      <c r="BU106" s="197" t="n">
        <f aca="false">Algae_yield_cost_factor/AC106</f>
        <v>0.078853090543256</v>
      </c>
    </row>
    <row r="107" customFormat="false" ht="15" hidden="false" customHeight="false" outlineLevel="0" collapsed="false">
      <c r="A107" s="18" t="s">
        <v>707</v>
      </c>
      <c r="B107" s="18" t="s">
        <v>22</v>
      </c>
      <c r="C107" s="18" t="s">
        <v>686</v>
      </c>
      <c r="D107" s="18" t="s">
        <v>686</v>
      </c>
      <c r="E107" s="28" t="n">
        <v>5.46113</v>
      </c>
      <c r="F107" s="185" t="n">
        <f aca="false">E107/$B$2*$F$3/1000</f>
        <v>0.0133797685</v>
      </c>
      <c r="G107" s="18" t="n">
        <f aca="false">LOOKUP(RIGHT(D107,5),Ref!$C$4:$C$21,Ref!$E$4:$E$21)*$G$3</f>
        <v>4.5</v>
      </c>
      <c r="H107" s="218" t="n">
        <f aca="false">$E107</f>
        <v>5.46113</v>
      </c>
      <c r="I107" s="177" t="n">
        <f aca="false">$E107</f>
        <v>5.46113</v>
      </c>
      <c r="J107" s="177" t="n">
        <f aca="false">$E107</f>
        <v>5.46113</v>
      </c>
      <c r="K107" s="177" t="n">
        <f aca="false">$E107</f>
        <v>5.46113</v>
      </c>
      <c r="L107" s="177" t="n">
        <f aca="false">$E107</f>
        <v>5.46113</v>
      </c>
      <c r="M107" s="177" t="n">
        <f aca="false">M$3*$E107</f>
        <v>5.72012885878621</v>
      </c>
      <c r="N107" s="177" t="n">
        <f aca="false">N$3*$E107</f>
        <v>5.87540138265941</v>
      </c>
      <c r="O107" s="177" t="n">
        <f aca="false">O$3*$E107</f>
        <v>6.11211265354265</v>
      </c>
      <c r="P107" s="177" t="n">
        <f aca="false">P$3*$E107</f>
        <v>6.45737950082461</v>
      </c>
      <c r="Q107" s="177" t="n">
        <f aca="false">Q$3*$E107</f>
        <v>6.92985406448632</v>
      </c>
      <c r="R107" s="177" t="n">
        <f aca="false">R$3*$E107</f>
        <v>7.52292867259362</v>
      </c>
      <c r="S107" s="177" t="n">
        <f aca="false">S$3*$E107</f>
        <v>8.191695</v>
      </c>
      <c r="T107" s="177" t="n">
        <f aca="false">T$3*$E107</f>
        <v>8.86046132740638</v>
      </c>
      <c r="U107" s="177" t="n">
        <f aca="false">U$3*$E107</f>
        <v>9.45353593551368</v>
      </c>
      <c r="V107" s="177" t="n">
        <f aca="false">V$3*$E107</f>
        <v>9.92601049917539</v>
      </c>
      <c r="W107" s="177" t="n">
        <f aca="false">W$3*$E107</f>
        <v>10.2712773464574</v>
      </c>
      <c r="X107" s="177" t="n">
        <f aca="false">X$3*$E107</f>
        <v>10.5079886173406</v>
      </c>
      <c r="Y107" s="177" t="n">
        <f aca="false">Y$3*$E107</f>
        <v>10.6632611412138</v>
      </c>
      <c r="Z107" s="177" t="n">
        <f aca="false">Z$3*$E107</f>
        <v>10.7621820972768</v>
      </c>
      <c r="AA107" s="177" t="n">
        <f aca="false">AA$3*$E107</f>
        <v>10.8240349691897</v>
      </c>
      <c r="AB107" s="177" t="n">
        <f aca="false">AB$3*$E107</f>
        <v>10.8622588779918</v>
      </c>
      <c r="AC107" s="177" t="n">
        <f aca="false">AC$3*$E107</f>
        <v>10.8857094710319</v>
      </c>
      <c r="AD107" s="219" t="n">
        <f aca="false">Algae_electricity_factor/H107</f>
        <v>0.00251662148740815</v>
      </c>
      <c r="AE107" s="220" t="n">
        <f aca="false">Algae_electricity_factor/I107</f>
        <v>0.00251662148740815</v>
      </c>
      <c r="AF107" s="220" t="n">
        <f aca="false">Algae_electricity_factor/J107</f>
        <v>0.00251662148740815</v>
      </c>
      <c r="AG107" s="220" t="n">
        <f aca="false">Algae_electricity_factor/K107</f>
        <v>0.00251662148740815</v>
      </c>
      <c r="AH107" s="220" t="n">
        <f aca="false">Algae_electricity_factor/L107</f>
        <v>0.00251662148740815</v>
      </c>
      <c r="AI107" s="220" t="n">
        <f aca="false">Algae_electricity_factor/M107</f>
        <v>0.00240267263951911</v>
      </c>
      <c r="AJ107" s="220" t="n">
        <f aca="false">Algae_electricity_factor/N107</f>
        <v>0.0023391758636426</v>
      </c>
      <c r="AK107" s="220" t="n">
        <f aca="false">Algae_electricity_factor/O107</f>
        <v>0.00224858373570116</v>
      </c>
      <c r="AL107" s="220" t="n">
        <f aca="false">Algae_electricity_factor/P107</f>
        <v>0.00212835517902799</v>
      </c>
      <c r="AM107" s="220" t="n">
        <f aca="false">Algae_electricity_factor/Q107</f>
        <v>0.00198324480943424</v>
      </c>
      <c r="AN107" s="220" t="n">
        <f aca="false">Algae_electricity_factor/R107</f>
        <v>0.00182689451165446</v>
      </c>
      <c r="AO107" s="220" t="n">
        <f aca="false">Algae_electricity_factor/S107</f>
        <v>0.0016777476582721</v>
      </c>
      <c r="AP107" s="220" t="n">
        <f aca="false">Algae_electricity_factor/T107</f>
        <v>0.00155111529701267</v>
      </c>
      <c r="AQ107" s="220" t="n">
        <f aca="false">Algae_electricity_factor/U107</f>
        <v>0.00145380492519199</v>
      </c>
      <c r="AR107" s="220" t="n">
        <f aca="false">Algae_electricity_factor/V107</f>
        <v>0.00138460432866468</v>
      </c>
      <c r="AS107" s="220" t="n">
        <f aca="false">Algae_electricity_factor/W107</f>
        <v>0.00133806114273309</v>
      </c>
      <c r="AT107" s="220" t="n">
        <f aca="false">Algae_electricity_factor/X107</f>
        <v>0.00130791891807431</v>
      </c>
      <c r="AU107" s="220" t="n">
        <f aca="false">Algae_electricity_factor/Y107</f>
        <v>0.00128887372460662</v>
      </c>
      <c r="AV107" s="220" t="n">
        <f aca="false">Algae_electricity_factor/Z107</f>
        <v>0.0012770269987354</v>
      </c>
      <c r="AW107" s="220" t="n">
        <f aca="false">Algae_electricity_factor/AA107</f>
        <v>0.00126972955488872</v>
      </c>
      <c r="AX107" s="220" t="n">
        <f aca="false">Algae_electricity_factor/AB107</f>
        <v>0.00126526142102684</v>
      </c>
      <c r="AY107" s="220" t="n">
        <f aca="false">Algae_electricity_factor/AC107</f>
        <v>0.00126253572540243</v>
      </c>
      <c r="AZ107" s="221" t="n">
        <f aca="false">Algae_yield_cost_factor/H107</f>
        <v>0.139319631520623</v>
      </c>
      <c r="BA107" s="197" t="n">
        <f aca="false">Algae_yield_cost_factor/I107</f>
        <v>0.139319631520623</v>
      </c>
      <c r="BB107" s="197" t="n">
        <f aca="false">Algae_yield_cost_factor/J107</f>
        <v>0.139319631520623</v>
      </c>
      <c r="BC107" s="197" t="n">
        <f aca="false">Algae_yield_cost_factor/K107</f>
        <v>0.139319631520623</v>
      </c>
      <c r="BD107" s="197" t="n">
        <f aca="false">Algae_yield_cost_factor/L107</f>
        <v>0.139319631520623</v>
      </c>
      <c r="BE107" s="197" t="n">
        <f aca="false">Algae_yield_cost_factor/M107</f>
        <v>0.133011447481214</v>
      </c>
      <c r="BF107" s="197" t="n">
        <f aca="false">Algae_yield_cost_factor/N107</f>
        <v>0.129496279442586</v>
      </c>
      <c r="BG107" s="197" t="n">
        <f aca="false">Algae_yield_cost_factor/O107</f>
        <v>0.124481118463225</v>
      </c>
      <c r="BH107" s="197" t="n">
        <f aca="false">Algae_yield_cost_factor/P107</f>
        <v>0.117825291078069</v>
      </c>
      <c r="BI107" s="197" t="n">
        <f aca="false">Algae_yield_cost_factor/Q107</f>
        <v>0.109792011809503</v>
      </c>
      <c r="BJ107" s="197" t="n">
        <f aca="false">Algae_yield_cost_factor/R107</f>
        <v>0.101136492501651</v>
      </c>
      <c r="BK107" s="197" t="n">
        <f aca="false">Algae_yield_cost_factor/S107</f>
        <v>0.0928797543470817</v>
      </c>
      <c r="BL107" s="197" t="n">
        <f aca="false">Algae_yield_cost_factor/T107</f>
        <v>0.0858694136989061</v>
      </c>
      <c r="BM107" s="197" t="n">
        <f aca="false">Algae_yield_cost_factor/U107</f>
        <v>0.0804823321639889</v>
      </c>
      <c r="BN107" s="197" t="n">
        <f aca="false">Algae_yield_cost_factor/V107</f>
        <v>0.0766514018244717</v>
      </c>
      <c r="BO107" s="197" t="n">
        <f aca="false">Algae_yield_cost_factor/W107</f>
        <v>0.0740747809276748</v>
      </c>
      <c r="BP107" s="197" t="n">
        <f aca="false">Algae_yield_cost_factor/X107</f>
        <v>0.0724061137666873</v>
      </c>
      <c r="BQ107" s="197" t="n">
        <f aca="false">Algae_yield_cost_factor/Y107</f>
        <v>0.0713517758976698</v>
      </c>
      <c r="BR107" s="197" t="n">
        <f aca="false">Algae_yield_cost_factor/Z107</f>
        <v>0.0706959436672916</v>
      </c>
      <c r="BS107" s="197" t="n">
        <f aca="false">Algae_yield_cost_factor/AA107</f>
        <v>0.0702919587244436</v>
      </c>
      <c r="BT107" s="197" t="n">
        <f aca="false">Algae_yield_cost_factor/AB107</f>
        <v>0.0700446037819789</v>
      </c>
      <c r="BU107" s="197" t="n">
        <f aca="false">Algae_yield_cost_factor/AC107</f>
        <v>0.0698937098505989</v>
      </c>
    </row>
    <row r="108" customFormat="false" ht="15" hidden="false" customHeight="false" outlineLevel="0" collapsed="false">
      <c r="A108" s="18" t="s">
        <v>708</v>
      </c>
      <c r="B108" s="18" t="s">
        <v>22</v>
      </c>
      <c r="C108" s="18" t="s">
        <v>690</v>
      </c>
      <c r="D108" s="18" t="s">
        <v>690</v>
      </c>
      <c r="E108" s="28" t="n">
        <v>5.686335</v>
      </c>
      <c r="F108" s="185" t="n">
        <f aca="false">E108/$B$2*$F$3/1000</f>
        <v>0.01393152075</v>
      </c>
      <c r="G108" s="18" t="n">
        <f aca="false">LOOKUP(RIGHT(D108,5),Ref!$C$4:$C$21,Ref!$E$4:$E$21)*$G$3</f>
        <v>1.5</v>
      </c>
      <c r="H108" s="218" t="n">
        <f aca="false">$E108</f>
        <v>5.686335</v>
      </c>
      <c r="I108" s="177" t="n">
        <f aca="false">$E108</f>
        <v>5.686335</v>
      </c>
      <c r="J108" s="177" t="n">
        <f aca="false">$E108</f>
        <v>5.686335</v>
      </c>
      <c r="K108" s="177" t="n">
        <f aca="false">$E108</f>
        <v>5.686335</v>
      </c>
      <c r="L108" s="177" t="n">
        <f aca="false">$E108</f>
        <v>5.686335</v>
      </c>
      <c r="M108" s="177" t="n">
        <f aca="false">M$3*$E108</f>
        <v>5.95601440255516</v>
      </c>
      <c r="N108" s="177" t="n">
        <f aca="false">N$3*$E108</f>
        <v>6.1176900240911</v>
      </c>
      <c r="O108" s="177" t="n">
        <f aca="false">O$3*$E108</f>
        <v>6.36416274759664</v>
      </c>
      <c r="P108" s="177" t="n">
        <f aca="false">P$3*$E108</f>
        <v>6.72366764091342</v>
      </c>
      <c r="Q108" s="177" t="n">
        <f aca="false">Q$3*$E108</f>
        <v>7.21562601728595</v>
      </c>
      <c r="R108" s="177" t="n">
        <f aca="false">R$3*$E108</f>
        <v>7.8331577189103</v>
      </c>
      <c r="S108" s="177" t="n">
        <f aca="false">S$3*$E108</f>
        <v>8.5295025</v>
      </c>
      <c r="T108" s="177" t="n">
        <f aca="false">T$3*$E108</f>
        <v>9.2258472810897</v>
      </c>
      <c r="U108" s="177" t="n">
        <f aca="false">U$3*$E108</f>
        <v>9.84337898271405</v>
      </c>
      <c r="V108" s="177" t="n">
        <f aca="false">V$3*$E108</f>
        <v>10.3353373590866</v>
      </c>
      <c r="W108" s="177" t="n">
        <f aca="false">W$3*$E108</f>
        <v>10.6948422524034</v>
      </c>
      <c r="X108" s="177" t="n">
        <f aca="false">X$3*$E108</f>
        <v>10.9413149759089</v>
      </c>
      <c r="Y108" s="177" t="n">
        <f aca="false">Y$3*$E108</f>
        <v>11.1029905974448</v>
      </c>
      <c r="Z108" s="177" t="n">
        <f aca="false">Z$3*$E108</f>
        <v>11.2059908363505</v>
      </c>
      <c r="AA108" s="177" t="n">
        <f aca="false">AA$3*$E108</f>
        <v>11.2703943847752</v>
      </c>
      <c r="AB108" s="177" t="n">
        <f aca="false">AB$3*$E108</f>
        <v>11.3101945635767</v>
      </c>
      <c r="AC108" s="177" t="n">
        <f aca="false">AC$3*$E108</f>
        <v>11.3346122075395</v>
      </c>
      <c r="AD108" s="219" t="n">
        <f aca="false">Algae_electricity_factor/H108</f>
        <v>0.00241695171028954</v>
      </c>
      <c r="AE108" s="220" t="n">
        <f aca="false">Algae_electricity_factor/I108</f>
        <v>0.00241695171028954</v>
      </c>
      <c r="AF108" s="220" t="n">
        <f aca="false">Algae_electricity_factor/J108</f>
        <v>0.00241695171028954</v>
      </c>
      <c r="AG108" s="220" t="n">
        <f aca="false">Algae_electricity_factor/K108</f>
        <v>0.00241695171028954</v>
      </c>
      <c r="AH108" s="220" t="n">
        <f aca="false">Algae_electricity_factor/L108</f>
        <v>0.00241695171028954</v>
      </c>
      <c r="AI108" s="220" t="n">
        <f aca="false">Algae_electricity_factor/M108</f>
        <v>0.00230751576047788</v>
      </c>
      <c r="AJ108" s="220" t="n">
        <f aca="false">Algae_electricity_factor/N108</f>
        <v>0.00224653374875285</v>
      </c>
      <c r="AK108" s="220" t="n">
        <f aca="false">Algae_electricity_factor/O108</f>
        <v>0.002159529485433</v>
      </c>
      <c r="AL108" s="220" t="n">
        <f aca="false">Algae_electricity_factor/P108</f>
        <v>0.00204406253216618</v>
      </c>
      <c r="AM108" s="220" t="n">
        <f aca="false">Algae_electricity_factor/Q108</f>
        <v>0.00190469920012549</v>
      </c>
      <c r="AN108" s="220" t="n">
        <f aca="false">Algae_electricity_factor/R108</f>
        <v>0.00175454109271289</v>
      </c>
      <c r="AO108" s="220" t="n">
        <f aca="false">Algae_electricity_factor/S108</f>
        <v>0.00161130114019303</v>
      </c>
      <c r="AP108" s="220" t="n">
        <f aca="false">Algae_electricity_factor/T108</f>
        <v>0.00148968400243299</v>
      </c>
      <c r="AQ108" s="220" t="n">
        <f aca="false">Algae_electricity_factor/U108</f>
        <v>0.00139622756856811</v>
      </c>
      <c r="AR108" s="220" t="n">
        <f aca="false">Algae_electricity_factor/V108</f>
        <v>0.0013297676337044</v>
      </c>
      <c r="AS108" s="220" t="n">
        <f aca="false">Algae_electricity_factor/W108</f>
        <v>0.00128506777184495</v>
      </c>
      <c r="AT108" s="220" t="n">
        <f aca="false">Algae_electricity_factor/X108</f>
        <v>0.00125611931781423</v>
      </c>
      <c r="AU108" s="220" t="n">
        <f aca="false">Algae_electricity_factor/Y108</f>
        <v>0.00123782840153824</v>
      </c>
      <c r="AV108" s="220" t="n">
        <f aca="false">Algae_electricity_factor/Z108</f>
        <v>0.00122645086045824</v>
      </c>
      <c r="AW108" s="220" t="n">
        <f aca="false">Algae_electricity_factor/AA108</f>
        <v>0.00121944242892645</v>
      </c>
      <c r="AX108" s="220" t="n">
        <f aca="false">Algae_electricity_factor/AB108</f>
        <v>0.00121515125370072</v>
      </c>
      <c r="AY108" s="220" t="n">
        <f aca="false">Algae_electricity_factor/AC108</f>
        <v>0.00121253350815014</v>
      </c>
      <c r="AZ108" s="221" t="n">
        <f aca="false">Algae_yield_cost_factor/H108</f>
        <v>0.133801933809073</v>
      </c>
      <c r="BA108" s="197" t="n">
        <f aca="false">Algae_yield_cost_factor/I108</f>
        <v>0.133801933809073</v>
      </c>
      <c r="BB108" s="197" t="n">
        <f aca="false">Algae_yield_cost_factor/J108</f>
        <v>0.133801933809073</v>
      </c>
      <c r="BC108" s="197" t="n">
        <f aca="false">Algae_yield_cost_factor/K108</f>
        <v>0.133801933809073</v>
      </c>
      <c r="BD108" s="197" t="n">
        <f aca="false">Algae_yield_cost_factor/L108</f>
        <v>0.133801933809073</v>
      </c>
      <c r="BE108" s="197" t="n">
        <f aca="false">Algae_yield_cost_factor/M108</f>
        <v>0.1277435828496</v>
      </c>
      <c r="BF108" s="197" t="n">
        <f aca="false">Algae_yield_cost_factor/N108</f>
        <v>0.124367631620769</v>
      </c>
      <c r="BG108" s="197" t="n">
        <f aca="false">Algae_yield_cost_factor/O108</f>
        <v>0.119551094065522</v>
      </c>
      <c r="BH108" s="197" t="n">
        <f aca="false">Algae_yield_cost_factor/P108</f>
        <v>0.113158868034538</v>
      </c>
      <c r="BI108" s="197" t="n">
        <f aca="false">Algae_yield_cost_factor/Q108</f>
        <v>0.1054437435454</v>
      </c>
      <c r="BJ108" s="197" t="n">
        <f aca="false">Algae_yield_cost_factor/R108</f>
        <v>0.097131022582303</v>
      </c>
      <c r="BK108" s="197" t="n">
        <f aca="false">Algae_yield_cost_factor/S108</f>
        <v>0.089201289206049</v>
      </c>
      <c r="BL108" s="197" t="n">
        <f aca="false">Algae_yield_cost_factor/T108</f>
        <v>0.082468590266579</v>
      </c>
      <c r="BM108" s="197" t="n">
        <f aca="false">Algae_yield_cost_factor/U108</f>
        <v>0.0772948619190964</v>
      </c>
      <c r="BN108" s="197" t="n">
        <f aca="false">Algae_yield_cost_factor/V108</f>
        <v>0.0736156540277133</v>
      </c>
      <c r="BO108" s="197" t="n">
        <f aca="false">Algae_yield_cost_factor/W108</f>
        <v>0.0711410791604</v>
      </c>
      <c r="BP108" s="197" t="n">
        <f aca="false">Algae_yield_cost_factor/X108</f>
        <v>0.0695384988880657</v>
      </c>
      <c r="BQ108" s="197" t="n">
        <f aca="false">Algae_yield_cost_factor/Y108</f>
        <v>0.0685259176443248</v>
      </c>
      <c r="BR108" s="197" t="n">
        <f aca="false">Algae_yield_cost_factor/Z108</f>
        <v>0.0678960593844288</v>
      </c>
      <c r="BS108" s="197" t="n">
        <f aca="false">Algae_yield_cost_factor/AA108</f>
        <v>0.0675080741020043</v>
      </c>
      <c r="BT108" s="197" t="n">
        <f aca="false">Algae_yield_cost_factor/AB108</f>
        <v>0.0672705155520873</v>
      </c>
      <c r="BU108" s="197" t="n">
        <f aca="false">Algae_yield_cost_factor/AC108</f>
        <v>0.067125597713888</v>
      </c>
    </row>
    <row r="109" customFormat="false" ht="15" hidden="false" customHeight="false" outlineLevel="0" collapsed="false">
      <c r="A109" s="18" t="s">
        <v>708</v>
      </c>
      <c r="B109" s="18" t="s">
        <v>22</v>
      </c>
      <c r="C109" s="18" t="s">
        <v>691</v>
      </c>
      <c r="D109" s="18" t="s">
        <v>691</v>
      </c>
      <c r="E109" s="28" t="n">
        <v>6.09988</v>
      </c>
      <c r="F109" s="185" t="n">
        <f aca="false">E109/$B$2*$F$3/1000</f>
        <v>0.014944706</v>
      </c>
      <c r="G109" s="18" t="n">
        <f aca="false">LOOKUP(RIGHT(D109,5),Ref!$C$4:$C$21,Ref!$E$4:$E$21)*$G$3</f>
        <v>2</v>
      </c>
      <c r="H109" s="218" t="n">
        <f aca="false">$E109</f>
        <v>6.09988</v>
      </c>
      <c r="I109" s="177" t="n">
        <f aca="false">$E109</f>
        <v>6.09988</v>
      </c>
      <c r="J109" s="177" t="n">
        <f aca="false">$E109</f>
        <v>6.09988</v>
      </c>
      <c r="K109" s="177" t="n">
        <f aca="false">$E109</f>
        <v>6.09988</v>
      </c>
      <c r="L109" s="177" t="n">
        <f aca="false">$E109</f>
        <v>6.09988</v>
      </c>
      <c r="M109" s="177" t="n">
        <f aca="false">M$3*$E109</f>
        <v>6.38917213527838</v>
      </c>
      <c r="N109" s="177" t="n">
        <f aca="false">N$3*$E109</f>
        <v>6.56260579514798</v>
      </c>
      <c r="O109" s="177" t="n">
        <f aca="false">O$3*$E109</f>
        <v>6.82700351998428</v>
      </c>
      <c r="P109" s="177" t="n">
        <f aca="false">P$3*$E109</f>
        <v>7.21265380415592</v>
      </c>
      <c r="Q109" s="177" t="n">
        <f aca="false">Q$3*$E109</f>
        <v>7.74039039738641</v>
      </c>
      <c r="R109" s="177" t="n">
        <f aca="false">R$3*$E109</f>
        <v>8.40283277478843</v>
      </c>
      <c r="S109" s="177" t="n">
        <f aca="false">S$3*$E109</f>
        <v>9.14982</v>
      </c>
      <c r="T109" s="177" t="n">
        <f aca="false">T$3*$E109</f>
        <v>9.89680722521157</v>
      </c>
      <c r="U109" s="177" t="n">
        <f aca="false">U$3*$E109</f>
        <v>10.5592496026136</v>
      </c>
      <c r="V109" s="177" t="n">
        <f aca="false">V$3*$E109</f>
        <v>11.0869861958441</v>
      </c>
      <c r="W109" s="177" t="n">
        <f aca="false">W$3*$E109</f>
        <v>11.4726364800157</v>
      </c>
      <c r="X109" s="177" t="n">
        <f aca="false">X$3*$E109</f>
        <v>11.737034204852</v>
      </c>
      <c r="Y109" s="177" t="n">
        <f aca="false">Y$3*$E109</f>
        <v>11.9104678647216</v>
      </c>
      <c r="Z109" s="177" t="n">
        <f aca="false">Z$3*$E109</f>
        <v>12.0209589098844</v>
      </c>
      <c r="AA109" s="177" t="n">
        <f aca="false">AA$3*$E109</f>
        <v>12.0900462775764</v>
      </c>
      <c r="AB109" s="177" t="n">
        <f aca="false">AB$3*$E109</f>
        <v>12.1327409683865</v>
      </c>
      <c r="AC109" s="177" t="n">
        <f aca="false">AC$3*$E109</f>
        <v>12.158934412504</v>
      </c>
      <c r="AD109" s="219" t="n">
        <f aca="false">Algae_electricity_factor/H109</f>
        <v>0.00225309302863815</v>
      </c>
      <c r="AE109" s="220" t="n">
        <f aca="false">Algae_electricity_factor/I109</f>
        <v>0.00225309302863815</v>
      </c>
      <c r="AF109" s="220" t="n">
        <f aca="false">Algae_electricity_factor/J109</f>
        <v>0.00225309302863815</v>
      </c>
      <c r="AG109" s="220" t="n">
        <f aca="false">Algae_electricity_factor/K109</f>
        <v>0.00225309302863815</v>
      </c>
      <c r="AH109" s="220" t="n">
        <f aca="false">Algae_electricity_factor/L109</f>
        <v>0.00225309302863815</v>
      </c>
      <c r="AI109" s="220" t="n">
        <f aca="false">Algae_electricity_factor/M109</f>
        <v>0.00215107635426549</v>
      </c>
      <c r="AJ109" s="220" t="n">
        <f aca="false">Algae_electricity_factor/N109</f>
        <v>0.00209422865436935</v>
      </c>
      <c r="AK109" s="220" t="n">
        <f aca="false">Algae_electricity_factor/O109</f>
        <v>0.00201312289693399</v>
      </c>
      <c r="AL109" s="220" t="n">
        <f aca="false">Algae_electricity_factor/P109</f>
        <v>0.00190548409457975</v>
      </c>
      <c r="AM109" s="220" t="n">
        <f aca="false">Algae_electricity_factor/Q109</f>
        <v>0.00177556898269238</v>
      </c>
      <c r="AN109" s="220" t="n">
        <f aca="false">Algae_electricity_factor/R109</f>
        <v>0.00163559093366288</v>
      </c>
      <c r="AO109" s="220" t="n">
        <f aca="false">Algae_electricity_factor/S109</f>
        <v>0.0015020620190921</v>
      </c>
      <c r="AP109" s="220" t="n">
        <f aca="false">Algae_electricity_factor/T109</f>
        <v>0.00138868998766776</v>
      </c>
      <c r="AQ109" s="220" t="n">
        <f aca="false">Algae_electricity_factor/U109</f>
        <v>0.00130156948843481</v>
      </c>
      <c r="AR109" s="220" t="n">
        <f aca="false">Algae_electricity_factor/V109</f>
        <v>0.00123961524446391</v>
      </c>
      <c r="AS109" s="220" t="n">
        <f aca="false">Algae_electricity_factor/W109</f>
        <v>0.0011979458363794</v>
      </c>
      <c r="AT109" s="220" t="n">
        <f aca="false">Algae_electricity_factor/X109</f>
        <v>0.00117095996004235</v>
      </c>
      <c r="AU109" s="220" t="n">
        <f aca="false">Algae_electricity_factor/Y109</f>
        <v>0.0011539090873363</v>
      </c>
      <c r="AV109" s="220" t="n">
        <f aca="false">Algae_electricity_factor/Z109</f>
        <v>0.0011433028934346</v>
      </c>
      <c r="AW109" s="220" t="n">
        <f aca="false">Algae_electricity_factor/AA109</f>
        <v>0.00113676960269537</v>
      </c>
      <c r="AX109" s="220" t="n">
        <f aca="false">Algae_electricity_factor/AB109</f>
        <v>0.00113276935025153</v>
      </c>
      <c r="AY109" s="220" t="n">
        <f aca="false">Algae_electricity_factor/AC109</f>
        <v>0.00113032907632067</v>
      </c>
      <c r="AZ109" s="221" t="n">
        <f aca="false">Algae_yield_cost_factor/H109</f>
        <v>0.124730751963353</v>
      </c>
      <c r="BA109" s="197" t="n">
        <f aca="false">Algae_yield_cost_factor/I109</f>
        <v>0.124730751963353</v>
      </c>
      <c r="BB109" s="197" t="n">
        <f aca="false">Algae_yield_cost_factor/J109</f>
        <v>0.124730751963353</v>
      </c>
      <c r="BC109" s="197" t="n">
        <f aca="false">Algae_yield_cost_factor/K109</f>
        <v>0.124730751963353</v>
      </c>
      <c r="BD109" s="197" t="n">
        <f aca="false">Algae_yield_cost_factor/L109</f>
        <v>0.124730751963353</v>
      </c>
      <c r="BE109" s="197" t="n">
        <f aca="false">Algae_yield_cost_factor/M109</f>
        <v>0.119083130517827</v>
      </c>
      <c r="BF109" s="197" t="n">
        <f aca="false">Algae_yield_cost_factor/N109</f>
        <v>0.11593605391455</v>
      </c>
      <c r="BG109" s="197" t="n">
        <f aca="false">Algae_yield_cost_factor/O109</f>
        <v>0.111446056393416</v>
      </c>
      <c r="BH109" s="197" t="n">
        <f aca="false">Algae_yield_cost_factor/P109</f>
        <v>0.105487195135835</v>
      </c>
      <c r="BI109" s="197" t="n">
        <f aca="false">Algae_yield_cost_factor/Q109</f>
        <v>0.0982951221094896</v>
      </c>
      <c r="BJ109" s="197" t="n">
        <f aca="false">Algae_yield_cost_factor/R109</f>
        <v>0.0905459670182922</v>
      </c>
      <c r="BK109" s="197" t="n">
        <f aca="false">Algae_yield_cost_factor/S109</f>
        <v>0.0831538346422354</v>
      </c>
      <c r="BL109" s="197" t="n">
        <f aca="false">Algae_yield_cost_factor/T109</f>
        <v>0.0768775830399135</v>
      </c>
      <c r="BM109" s="197" t="n">
        <f aca="false">Algae_yield_cost_factor/U109</f>
        <v>0.0720546106891816</v>
      </c>
      <c r="BN109" s="197" t="n">
        <f aca="false">Algae_yield_cost_factor/V109</f>
        <v>0.0686248368895252</v>
      </c>
      <c r="BO109" s="197" t="n">
        <f aca="false">Algae_yield_cost_factor/W109</f>
        <v>0.0663180273001359</v>
      </c>
      <c r="BP109" s="197" t="n">
        <f aca="false">Algae_yield_cost_factor/X109</f>
        <v>0.0648240949124686</v>
      </c>
      <c r="BQ109" s="197" t="n">
        <f aca="false">Algae_yield_cost_factor/Y109</f>
        <v>0.0638801622176242</v>
      </c>
      <c r="BR109" s="197" t="n">
        <f aca="false">Algae_yield_cost_factor/Z109</f>
        <v>0.0632930055738401</v>
      </c>
      <c r="BS109" s="197" t="n">
        <f aca="false">Algae_yield_cost_factor/AA109</f>
        <v>0.0629313239848686</v>
      </c>
      <c r="BT109" s="197" t="n">
        <f aca="false">Algae_yield_cost_factor/AB109</f>
        <v>0.0627098708584232</v>
      </c>
      <c r="BU109" s="197" t="n">
        <f aca="false">Algae_yield_cost_factor/AC109</f>
        <v>0.0625747778114326</v>
      </c>
    </row>
    <row r="110" customFormat="false" ht="15" hidden="false" customHeight="false" outlineLevel="0" collapsed="false">
      <c r="A110" s="18" t="s">
        <v>708</v>
      </c>
      <c r="B110" s="18" t="s">
        <v>22</v>
      </c>
      <c r="C110" s="18" t="s">
        <v>692</v>
      </c>
      <c r="D110" s="18" t="s">
        <v>692</v>
      </c>
      <c r="E110" s="28" t="n">
        <v>5.834525</v>
      </c>
      <c r="F110" s="185" t="n">
        <f aca="false">E110/$B$2*$F$3/1000</f>
        <v>0.01429458625</v>
      </c>
      <c r="G110" s="18" t="n">
        <f aca="false">LOOKUP(RIGHT(D110,5),Ref!$C$4:$C$21,Ref!$E$4:$E$21)*$G$3</f>
        <v>2.5</v>
      </c>
      <c r="H110" s="218" t="n">
        <f aca="false">$E110</f>
        <v>5.834525</v>
      </c>
      <c r="I110" s="177" t="n">
        <f aca="false">$E110</f>
        <v>5.834525</v>
      </c>
      <c r="J110" s="177" t="n">
        <f aca="false">$E110</f>
        <v>5.834525</v>
      </c>
      <c r="K110" s="177" t="n">
        <f aca="false">$E110</f>
        <v>5.834525</v>
      </c>
      <c r="L110" s="177" t="n">
        <f aca="false">$E110</f>
        <v>5.834525</v>
      </c>
      <c r="M110" s="177" t="n">
        <f aca="false">M$3*$E110</f>
        <v>6.11123244270134</v>
      </c>
      <c r="N110" s="177" t="n">
        <f aca="false">N$3*$E110</f>
        <v>6.27712144778845</v>
      </c>
      <c r="O110" s="177" t="n">
        <f aca="false">O$3*$E110</f>
        <v>6.5300174286111</v>
      </c>
      <c r="P110" s="177" t="n">
        <f aca="false">P$3*$E110</f>
        <v>6.89889127928628</v>
      </c>
      <c r="Q110" s="177" t="n">
        <f aca="false">Q$3*$E110</f>
        <v>7.40367044651877</v>
      </c>
      <c r="R110" s="177" t="n">
        <f aca="false">R$3*$E110</f>
        <v>8.0372954706195</v>
      </c>
      <c r="S110" s="177" t="n">
        <f aca="false">S$3*$E110</f>
        <v>8.7517875</v>
      </c>
      <c r="T110" s="177" t="n">
        <f aca="false">T$3*$E110</f>
        <v>9.4662795293805</v>
      </c>
      <c r="U110" s="177" t="n">
        <f aca="false">U$3*$E110</f>
        <v>10.0999045534812</v>
      </c>
      <c r="V110" s="177" t="n">
        <f aca="false">V$3*$E110</f>
        <v>10.6046837207137</v>
      </c>
      <c r="W110" s="177" t="n">
        <f aca="false">W$3*$E110</f>
        <v>10.9735575713889</v>
      </c>
      <c r="X110" s="177" t="n">
        <f aca="false">X$3*$E110</f>
        <v>11.2264535522116</v>
      </c>
      <c r="Y110" s="177" t="n">
        <f aca="false">Y$3*$E110</f>
        <v>11.3923425572987</v>
      </c>
      <c r="Z110" s="177" t="n">
        <f aca="false">Z$3*$E110</f>
        <v>11.4980270568754</v>
      </c>
      <c r="AA110" s="177" t="n">
        <f aca="false">AA$3*$E110</f>
        <v>11.5641090083209</v>
      </c>
      <c r="AB110" s="177" t="n">
        <f aca="false">AB$3*$E110</f>
        <v>11.6049464085482</v>
      </c>
      <c r="AC110" s="177" t="n">
        <f aca="false">AC$3*$E110</f>
        <v>11.630000393961</v>
      </c>
      <c r="AD110" s="219" t="n">
        <f aca="false">Algae_electricity_factor/H110</f>
        <v>0.00235556400967161</v>
      </c>
      <c r="AE110" s="220" t="n">
        <f aca="false">Algae_electricity_factor/I110</f>
        <v>0.00235556400967161</v>
      </c>
      <c r="AF110" s="220" t="n">
        <f aca="false">Algae_electricity_factor/J110</f>
        <v>0.00235556400967161</v>
      </c>
      <c r="AG110" s="220" t="n">
        <f aca="false">Algae_electricity_factor/K110</f>
        <v>0.00235556400967161</v>
      </c>
      <c r="AH110" s="220" t="n">
        <f aca="false">Algae_electricity_factor/L110</f>
        <v>0.00235556400967161</v>
      </c>
      <c r="AI110" s="220" t="n">
        <f aca="false">Algae_electricity_factor/M110</f>
        <v>0.00224890760290803</v>
      </c>
      <c r="AJ110" s="220" t="n">
        <f aca="false">Algae_electricity_factor/N110</f>
        <v>0.00218947446179672</v>
      </c>
      <c r="AK110" s="220" t="n">
        <f aca="false">Algae_electricity_factor/O110</f>
        <v>0.00210468000335069</v>
      </c>
      <c r="AL110" s="220" t="n">
        <f aca="false">Algae_electricity_factor/P110</f>
        <v>0.00199214577345116</v>
      </c>
      <c r="AM110" s="220" t="n">
        <f aca="false">Algae_electricity_factor/Q110</f>
        <v>0.00185632210439506</v>
      </c>
      <c r="AN110" s="220" t="n">
        <f aca="false">Algae_electricity_factor/R110</f>
        <v>0.00170997783443066</v>
      </c>
      <c r="AO110" s="220" t="n">
        <f aca="false">Algae_electricity_factor/S110</f>
        <v>0.00157037600644774</v>
      </c>
      <c r="AP110" s="220" t="n">
        <f aca="false">Algae_electricity_factor/T110</f>
        <v>0.00145184779943094</v>
      </c>
      <c r="AQ110" s="220" t="n">
        <f aca="false">Algae_electricity_factor/U110</f>
        <v>0.00136076504790257</v>
      </c>
      <c r="AR110" s="220" t="n">
        <f aca="false">Algae_electricity_factor/V110</f>
        <v>0.00129599311638917</v>
      </c>
      <c r="AS110" s="220" t="n">
        <f aca="false">Algae_electricity_factor/W110</f>
        <v>0.00125242857789006</v>
      </c>
      <c r="AT110" s="220" t="n">
        <f aca="false">Algae_electricity_factor/X110</f>
        <v>0.00122421538018316</v>
      </c>
      <c r="AU110" s="220" t="n">
        <f aca="false">Algae_electricity_factor/Y110</f>
        <v>0.00120638903143974</v>
      </c>
      <c r="AV110" s="220" t="n">
        <f aca="false">Algae_electricity_factor/Z110</f>
        <v>0.00119530046637967</v>
      </c>
      <c r="AW110" s="220" t="n">
        <f aca="false">Algae_electricity_factor/AA110</f>
        <v>0.00118847004067845</v>
      </c>
      <c r="AX110" s="220" t="n">
        <f aca="false">Algae_electricity_factor/AB110</f>
        <v>0.00118428785620291</v>
      </c>
      <c r="AY110" s="220" t="n">
        <f aca="false">Algae_electricity_factor/AC110</f>
        <v>0.00118173659827783</v>
      </c>
      <c r="AZ110" s="221" t="n">
        <f aca="false">Algae_yield_cost_factor/H110</f>
        <v>0.130403523729218</v>
      </c>
      <c r="BA110" s="197" t="n">
        <f aca="false">Algae_yield_cost_factor/I110</f>
        <v>0.130403523729218</v>
      </c>
      <c r="BB110" s="197" t="n">
        <f aca="false">Algae_yield_cost_factor/J110</f>
        <v>0.130403523729218</v>
      </c>
      <c r="BC110" s="197" t="n">
        <f aca="false">Algae_yield_cost_factor/K110</f>
        <v>0.130403523729218</v>
      </c>
      <c r="BD110" s="197" t="n">
        <f aca="false">Algae_yield_cost_factor/L110</f>
        <v>0.130403523729218</v>
      </c>
      <c r="BE110" s="197" t="n">
        <f aca="false">Algae_yield_cost_factor/M110</f>
        <v>0.124499047683073</v>
      </c>
      <c r="BF110" s="197" t="n">
        <f aca="false">Algae_yield_cost_factor/N110</f>
        <v>0.121208841602751</v>
      </c>
      <c r="BG110" s="197" t="n">
        <f aca="false">Algae_yield_cost_factor/O110</f>
        <v>0.116514638376401</v>
      </c>
      <c r="BH110" s="197" t="n">
        <f aca="false">Algae_yield_cost_factor/P110</f>
        <v>0.110284767288713</v>
      </c>
      <c r="BI110" s="197" t="n">
        <f aca="false">Algae_yield_cost_factor/Q110</f>
        <v>0.102765597791291</v>
      </c>
      <c r="BJ110" s="197" t="n">
        <f aca="false">Algae_yield_cost_factor/R110</f>
        <v>0.0946640100600374</v>
      </c>
      <c r="BK110" s="197" t="n">
        <f aca="false">Algae_yield_cost_factor/S110</f>
        <v>0.0869356824861456</v>
      </c>
      <c r="BL110" s="197" t="n">
        <f aca="false">Algae_yield_cost_factor/T110</f>
        <v>0.0803739860971557</v>
      </c>
      <c r="BM110" s="197" t="n">
        <f aca="false">Algae_yield_cost_factor/U110</f>
        <v>0.0753316643001315</v>
      </c>
      <c r="BN110" s="197" t="n">
        <f aca="false">Algae_yield_cost_factor/V110</f>
        <v>0.0717459039160304</v>
      </c>
      <c r="BO110" s="197" t="n">
        <f aca="false">Algae_yield_cost_factor/W110</f>
        <v>0.0693341803090317</v>
      </c>
      <c r="BP110" s="197" t="n">
        <f aca="false">Algae_yield_cost_factor/X110</f>
        <v>0.0677723036707648</v>
      </c>
      <c r="BQ110" s="197" t="n">
        <f aca="false">Algae_yield_cost_factor/Y110</f>
        <v>0.0667854407870464</v>
      </c>
      <c r="BR110" s="197" t="n">
        <f aca="false">Algae_yield_cost_factor/Z110</f>
        <v>0.0661715801782932</v>
      </c>
      <c r="BS110" s="197" t="n">
        <f aca="false">Algae_yield_cost_factor/AA110</f>
        <v>0.0657934492608774</v>
      </c>
      <c r="BT110" s="197" t="n">
        <f aca="false">Algae_yield_cost_factor/AB110</f>
        <v>0.0655619244157628</v>
      </c>
      <c r="BU110" s="197" t="n">
        <f aca="false">Algae_yield_cost_factor/AC110</f>
        <v>0.0654206873184023</v>
      </c>
    </row>
    <row r="111" customFormat="false" ht="15" hidden="false" customHeight="false" outlineLevel="0" collapsed="false">
      <c r="A111" s="18" t="s">
        <v>708</v>
      </c>
      <c r="B111" s="18" t="s">
        <v>22</v>
      </c>
      <c r="C111" s="18" t="s">
        <v>693</v>
      </c>
      <c r="D111" s="18" t="s">
        <v>693</v>
      </c>
      <c r="E111" s="28" t="n">
        <v>5.98746</v>
      </c>
      <c r="F111" s="185" t="n">
        <f aca="false">E111/$B$2*$F$3/1000</f>
        <v>0.014669277</v>
      </c>
      <c r="G111" s="18" t="n">
        <f aca="false">LOOKUP(RIGHT(D111,5),Ref!$C$4:$C$21,Ref!$E$4:$E$21)*$G$3</f>
        <v>3</v>
      </c>
      <c r="H111" s="218" t="n">
        <f aca="false">$E111</f>
        <v>5.98746</v>
      </c>
      <c r="I111" s="177" t="n">
        <f aca="false">$E111</f>
        <v>5.98746</v>
      </c>
      <c r="J111" s="177" t="n">
        <f aca="false">$E111</f>
        <v>5.98746</v>
      </c>
      <c r="K111" s="177" t="n">
        <f aca="false">$E111</f>
        <v>5.98746</v>
      </c>
      <c r="L111" s="177" t="n">
        <f aca="false">$E111</f>
        <v>5.98746</v>
      </c>
      <c r="M111" s="177" t="n">
        <f aca="false">M$3*$E111</f>
        <v>6.27142051861575</v>
      </c>
      <c r="N111" s="177" t="n">
        <f aca="false">N$3*$E111</f>
        <v>6.44165781854999</v>
      </c>
      <c r="O111" s="177" t="n">
        <f aca="false">O$3*$E111</f>
        <v>6.70118272749055</v>
      </c>
      <c r="P111" s="177" t="n">
        <f aca="false">P$3*$E111</f>
        <v>7.07972552676961</v>
      </c>
      <c r="Q111" s="177" t="n">
        <f aca="false">Q$3*$E111</f>
        <v>7.59773600279599</v>
      </c>
      <c r="R111" s="177" t="n">
        <f aca="false">R$3*$E111</f>
        <v>8.24796965280214</v>
      </c>
      <c r="S111" s="177" t="n">
        <f aca="false">S$3*$E111</f>
        <v>8.98119</v>
      </c>
      <c r="T111" s="177" t="n">
        <f aca="false">T$3*$E111</f>
        <v>9.71441034719786</v>
      </c>
      <c r="U111" s="177" t="n">
        <f aca="false">U$3*$E111</f>
        <v>10.364643997204</v>
      </c>
      <c r="V111" s="177" t="n">
        <f aca="false">V$3*$E111</f>
        <v>10.8826544732304</v>
      </c>
      <c r="W111" s="177" t="n">
        <f aca="false">W$3*$E111</f>
        <v>11.2611972725094</v>
      </c>
      <c r="X111" s="177" t="n">
        <f aca="false">X$3*$E111</f>
        <v>11.52072218145</v>
      </c>
      <c r="Y111" s="177" t="n">
        <f aca="false">Y$3*$E111</f>
        <v>11.6909594813842</v>
      </c>
      <c r="Z111" s="177" t="n">
        <f aca="false">Z$3*$E111</f>
        <v>11.7994141908655</v>
      </c>
      <c r="AA111" s="177" t="n">
        <f aca="false">AA$3*$E111</f>
        <v>11.8672282873004</v>
      </c>
      <c r="AB111" s="177" t="n">
        <f aca="false">AB$3*$E111</f>
        <v>11.909136120477</v>
      </c>
      <c r="AC111" s="177" t="n">
        <f aca="false">AC$3*$E111</f>
        <v>11.9348468228049</v>
      </c>
      <c r="AD111" s="219" t="n">
        <f aca="false">Algae_electricity_factor/H111</f>
        <v>0.00229539689676912</v>
      </c>
      <c r="AE111" s="220" t="n">
        <f aca="false">Algae_electricity_factor/I111</f>
        <v>0.00229539689676912</v>
      </c>
      <c r="AF111" s="220" t="n">
        <f aca="false">Algae_electricity_factor/J111</f>
        <v>0.00229539689676912</v>
      </c>
      <c r="AG111" s="220" t="n">
        <f aca="false">Algae_electricity_factor/K111</f>
        <v>0.00229539689676912</v>
      </c>
      <c r="AH111" s="220" t="n">
        <f aca="false">Algae_electricity_factor/L111</f>
        <v>0.00229539689676912</v>
      </c>
      <c r="AI111" s="220" t="n">
        <f aca="false">Algae_electricity_factor/M111</f>
        <v>0.00219146476667184</v>
      </c>
      <c r="AJ111" s="220" t="n">
        <f aca="false">Algae_electricity_factor/N111</f>
        <v>0.00213354969957453</v>
      </c>
      <c r="AK111" s="220" t="n">
        <f aca="false">Algae_electricity_factor/O111</f>
        <v>0.00205092110787374</v>
      </c>
      <c r="AL111" s="220" t="n">
        <f aca="false">Algae_electricity_factor/P111</f>
        <v>0.00194126128923536</v>
      </c>
      <c r="AM111" s="220" t="n">
        <f aca="false">Algae_electricity_factor/Q111</f>
        <v>0.00180890690311845</v>
      </c>
      <c r="AN111" s="220" t="n">
        <f aca="false">Algae_electricity_factor/R111</f>
        <v>0.00166630063907425</v>
      </c>
      <c r="AO111" s="220" t="n">
        <f aca="false">Algae_electricity_factor/S111</f>
        <v>0.00153026459784608</v>
      </c>
      <c r="AP111" s="220" t="n">
        <f aca="false">Algae_electricity_factor/T111</f>
        <v>0.00141476390355423</v>
      </c>
      <c r="AQ111" s="220" t="n">
        <f aca="false">Algae_electricity_factor/U111</f>
        <v>0.00132600763781532</v>
      </c>
      <c r="AR111" s="220" t="n">
        <f aca="false">Algae_electricity_factor/V111</f>
        <v>0.0012628901466399</v>
      </c>
      <c r="AS111" s="220" t="n">
        <f aca="false">Algae_electricity_factor/W111</f>
        <v>0.00122043835756965</v>
      </c>
      <c r="AT111" s="220" t="n">
        <f aca="false">Algae_electricity_factor/X111</f>
        <v>0.0011929457968927</v>
      </c>
      <c r="AU111" s="220" t="n">
        <f aca="false">Algae_electricity_factor/Y111</f>
        <v>0.00117557477856402</v>
      </c>
      <c r="AV111" s="220" t="n">
        <f aca="false">Algae_electricity_factor/Z111</f>
        <v>0.00116476944373805</v>
      </c>
      <c r="AW111" s="220" t="n">
        <f aca="false">Algae_electricity_factor/AA111</f>
        <v>0.00115811348453091</v>
      </c>
      <c r="AX111" s="220" t="n">
        <f aca="false">Algae_electricity_factor/AB111</f>
        <v>0.00115403812371394</v>
      </c>
      <c r="AY111" s="220" t="n">
        <f aca="false">Algae_electricity_factor/AC111</f>
        <v>0.0011515520314235</v>
      </c>
      <c r="AZ111" s="221" t="n">
        <f aca="false">Algae_yield_cost_factor/H111</f>
        <v>0.127072685126284</v>
      </c>
      <c r="BA111" s="197" t="n">
        <f aca="false">Algae_yield_cost_factor/I111</f>
        <v>0.127072685126284</v>
      </c>
      <c r="BB111" s="197" t="n">
        <f aca="false">Algae_yield_cost_factor/J111</f>
        <v>0.127072685126284</v>
      </c>
      <c r="BC111" s="197" t="n">
        <f aca="false">Algae_yield_cost_factor/K111</f>
        <v>0.127072685126284</v>
      </c>
      <c r="BD111" s="197" t="n">
        <f aca="false">Algae_yield_cost_factor/L111</f>
        <v>0.127072685126284</v>
      </c>
      <c r="BE111" s="197" t="n">
        <f aca="false">Algae_yield_cost_factor/M111</f>
        <v>0.121319024458298</v>
      </c>
      <c r="BF111" s="197" t="n">
        <f aca="false">Algae_yield_cost_factor/N111</f>
        <v>0.118112858633258</v>
      </c>
      <c r="BG111" s="197" t="n">
        <f aca="false">Algae_yield_cost_factor/O111</f>
        <v>0.113538557330332</v>
      </c>
      <c r="BH111" s="197" t="n">
        <f aca="false">Algae_yield_cost_factor/P111</f>
        <v>0.107467813040117</v>
      </c>
      <c r="BI111" s="197" t="n">
        <f aca="false">Algae_yield_cost_factor/Q111</f>
        <v>0.100140702310034</v>
      </c>
      <c r="BJ111" s="197" t="n">
        <f aca="false">Algae_yield_cost_factor/R111</f>
        <v>0.0922460497933247</v>
      </c>
      <c r="BK111" s="197" t="n">
        <f aca="false">Algae_yield_cost_factor/S111</f>
        <v>0.0847151234175224</v>
      </c>
      <c r="BL111" s="197" t="n">
        <f aca="false">Algae_yield_cost_factor/T111</f>
        <v>0.0783210294905531</v>
      </c>
      <c r="BM111" s="197" t="n">
        <f aca="false">Algae_yield_cost_factor/U111</f>
        <v>0.0734075014531579</v>
      </c>
      <c r="BN111" s="197" t="n">
        <f aca="false">Algae_yield_cost_factor/V111</f>
        <v>0.0699133305350979</v>
      </c>
      <c r="BO111" s="197" t="n">
        <f aca="false">Algae_yield_cost_factor/W111</f>
        <v>0.0675632085003579</v>
      </c>
      <c r="BP111" s="197" t="n">
        <f aca="false">Algae_yield_cost_factor/X111</f>
        <v>0.0660412261751509</v>
      </c>
      <c r="BQ111" s="197" t="n">
        <f aca="false">Algae_yield_cost_factor/Y111</f>
        <v>0.0650795702865725</v>
      </c>
      <c r="BR111" s="197" t="n">
        <f aca="false">Algae_yield_cost_factor/Z111</f>
        <v>0.0644813892434782</v>
      </c>
      <c r="BS111" s="197" t="n">
        <f aca="false">Algae_yield_cost_factor/AA111</f>
        <v>0.0641129167541529</v>
      </c>
      <c r="BT111" s="197" t="n">
        <f aca="false">Algae_yield_cost_factor/AB111</f>
        <v>0.0638873056441093</v>
      </c>
      <c r="BU111" s="197" t="n">
        <f aca="false">Algae_yield_cost_factor/AC111</f>
        <v>0.0637496761024544</v>
      </c>
    </row>
    <row r="112" customFormat="false" ht="15" hidden="false" customHeight="false" outlineLevel="0" collapsed="false">
      <c r="A112" s="18" t="s">
        <v>708</v>
      </c>
      <c r="B112" s="18" t="s">
        <v>22</v>
      </c>
      <c r="C112" s="18" t="s">
        <v>694</v>
      </c>
      <c r="D112" s="18" t="s">
        <v>694</v>
      </c>
      <c r="E112" s="28" t="n">
        <v>6.107545</v>
      </c>
      <c r="F112" s="185" t="n">
        <f aca="false">E112/$B$2*$F$3/1000</f>
        <v>0.01496348525</v>
      </c>
      <c r="G112" s="18" t="n">
        <f aca="false">LOOKUP(RIGHT(D112,5),Ref!$C$4:$C$21,Ref!$E$4:$E$21)*$G$3</f>
        <v>3</v>
      </c>
      <c r="H112" s="218" t="n">
        <f aca="false">$E112</f>
        <v>6.107545</v>
      </c>
      <c r="I112" s="177" t="n">
        <f aca="false">$E112</f>
        <v>6.107545</v>
      </c>
      <c r="J112" s="177" t="n">
        <f aca="false">$E112</f>
        <v>6.107545</v>
      </c>
      <c r="K112" s="177" t="n">
        <f aca="false">$E112</f>
        <v>6.107545</v>
      </c>
      <c r="L112" s="177" t="n">
        <f aca="false">$E112</f>
        <v>6.107545</v>
      </c>
      <c r="M112" s="177" t="n">
        <f aca="false">M$3*$E112</f>
        <v>6.39720065459628</v>
      </c>
      <c r="N112" s="177" t="n">
        <f aca="false">N$3*$E112</f>
        <v>6.57085224809785</v>
      </c>
      <c r="O112" s="177" t="n">
        <f aca="false">O$3*$E112</f>
        <v>6.83558221038157</v>
      </c>
      <c r="P112" s="177" t="n">
        <f aca="false">P$3*$E112</f>
        <v>7.22171709579589</v>
      </c>
      <c r="Q112" s="177" t="n">
        <f aca="false">Q$3*$E112</f>
        <v>7.75011683338121</v>
      </c>
      <c r="R112" s="177" t="n">
        <f aca="false">R$3*$E112</f>
        <v>8.41339162401477</v>
      </c>
      <c r="S112" s="177" t="n">
        <f aca="false">S$3*$E112</f>
        <v>9.1613175</v>
      </c>
      <c r="T112" s="177" t="n">
        <f aca="false">T$3*$E112</f>
        <v>9.90924337598523</v>
      </c>
      <c r="U112" s="177" t="n">
        <f aca="false">U$3*$E112</f>
        <v>10.5725181666188</v>
      </c>
      <c r="V112" s="177" t="n">
        <f aca="false">V$3*$E112</f>
        <v>11.1009179042041</v>
      </c>
      <c r="W112" s="177" t="n">
        <f aca="false">W$3*$E112</f>
        <v>11.4870527896184</v>
      </c>
      <c r="X112" s="177" t="n">
        <f aca="false">X$3*$E112</f>
        <v>11.7517827519022</v>
      </c>
      <c r="Y112" s="177" t="n">
        <f aca="false">Y$3*$E112</f>
        <v>11.9254343454037</v>
      </c>
      <c r="Z112" s="177" t="n">
        <f aca="false">Z$3*$E112</f>
        <v>12.0360642316357</v>
      </c>
      <c r="AA112" s="177" t="n">
        <f aca="false">AA$3*$E112</f>
        <v>12.1052384132771</v>
      </c>
      <c r="AB112" s="177" t="n">
        <f aca="false">AB$3*$E112</f>
        <v>12.1479867534712</v>
      </c>
      <c r="AC112" s="177" t="n">
        <f aca="false">AC$3*$E112</f>
        <v>12.1742131118016</v>
      </c>
      <c r="AD112" s="219" t="n">
        <f aca="false">Algae_electricity_factor/H112</f>
        <v>0.00225026538544198</v>
      </c>
      <c r="AE112" s="220" t="n">
        <f aca="false">Algae_electricity_factor/I112</f>
        <v>0.00225026538544198</v>
      </c>
      <c r="AF112" s="220" t="n">
        <f aca="false">Algae_electricity_factor/J112</f>
        <v>0.00225026538544198</v>
      </c>
      <c r="AG112" s="220" t="n">
        <f aca="false">Algae_electricity_factor/K112</f>
        <v>0.00225026538544198</v>
      </c>
      <c r="AH112" s="220" t="n">
        <f aca="false">Algae_electricity_factor/L112</f>
        <v>0.00225026538544198</v>
      </c>
      <c r="AI112" s="220" t="n">
        <f aca="false">Algae_electricity_factor/M112</f>
        <v>0.00214837674251389</v>
      </c>
      <c r="AJ112" s="220" t="n">
        <f aca="false">Algae_electricity_factor/N112</f>
        <v>0.00209160038676989</v>
      </c>
      <c r="AK112" s="220" t="n">
        <f aca="false">Algae_electricity_factor/O112</f>
        <v>0.00201059641747211</v>
      </c>
      <c r="AL112" s="220" t="n">
        <f aca="false">Algae_electricity_factor/P112</f>
        <v>0.00190309270236161</v>
      </c>
      <c r="AM112" s="220" t="n">
        <f aca="false">Algae_electricity_factor/Q112</f>
        <v>0.0017733406345996</v>
      </c>
      <c r="AN112" s="220" t="n">
        <f aca="false">Algae_electricity_factor/R112</f>
        <v>0.00163353825873269</v>
      </c>
      <c r="AO112" s="220" t="n">
        <f aca="false">Algae_electricity_factor/S112</f>
        <v>0.00150017692362799</v>
      </c>
      <c r="AP112" s="220" t="n">
        <f aca="false">Algae_electricity_factor/T112</f>
        <v>0.00138694717467899</v>
      </c>
      <c r="AQ112" s="220" t="n">
        <f aca="false">Algae_electricity_factor/U112</f>
        <v>0.00129993601211514</v>
      </c>
      <c r="AR112" s="220" t="n">
        <f aca="false">Algae_electricity_factor/V112</f>
        <v>0.00123805952103513</v>
      </c>
      <c r="AS112" s="220" t="n">
        <f aca="false">Algae_electricity_factor/W112</f>
        <v>0.00119644240826944</v>
      </c>
      <c r="AT112" s="220" t="n">
        <f aca="false">Algae_electricity_factor/X112</f>
        <v>0.00116949039934428</v>
      </c>
      <c r="AU112" s="220" t="n">
        <f aca="false">Algae_electricity_factor/Y112</f>
        <v>0.00115246092557009</v>
      </c>
      <c r="AV112" s="220" t="n">
        <f aca="false">Algae_electricity_factor/Z112</f>
        <v>0.00114186804249561</v>
      </c>
      <c r="AW112" s="220" t="n">
        <f aca="false">Algae_electricity_factor/AA112</f>
        <v>0.00113534295106945</v>
      </c>
      <c r="AX112" s="220" t="n">
        <f aca="false">Algae_electricity_factor/AB112</f>
        <v>0.00113134771896274</v>
      </c>
      <c r="AY112" s="220" t="n">
        <f aca="false">Algae_electricity_factor/AC112</f>
        <v>0.00112891050758806</v>
      </c>
      <c r="AZ112" s="221" t="n">
        <f aca="false">Algae_yield_cost_factor/H112</f>
        <v>0.124574214236034</v>
      </c>
      <c r="BA112" s="197" t="n">
        <f aca="false">Algae_yield_cost_factor/I112</f>
        <v>0.124574214236034</v>
      </c>
      <c r="BB112" s="197" t="n">
        <f aca="false">Algae_yield_cost_factor/J112</f>
        <v>0.124574214236034</v>
      </c>
      <c r="BC112" s="197" t="n">
        <f aca="false">Algae_yield_cost_factor/K112</f>
        <v>0.124574214236034</v>
      </c>
      <c r="BD112" s="197" t="n">
        <f aca="false">Algae_yield_cost_factor/L112</f>
        <v>0.124574214236034</v>
      </c>
      <c r="BE112" s="197" t="n">
        <f aca="false">Algae_yield_cost_factor/M112</f>
        <v>0.118933680584111</v>
      </c>
      <c r="BF112" s="197" t="n">
        <f aca="false">Algae_yield_cost_factor/N112</f>
        <v>0.115790553577958</v>
      </c>
      <c r="BG112" s="197" t="n">
        <f aca="false">Algae_yield_cost_factor/O112</f>
        <v>0.111306191026521</v>
      </c>
      <c r="BH112" s="197" t="n">
        <f aca="false">Algae_yield_cost_factor/P112</f>
        <v>0.105354808170088</v>
      </c>
      <c r="BI112" s="197" t="n">
        <f aca="false">Algae_yield_cost_factor/Q112</f>
        <v>0.0981717612319244</v>
      </c>
      <c r="BJ112" s="197" t="n">
        <f aca="false">Algae_yield_cost_factor/R112</f>
        <v>0.0904323313697304</v>
      </c>
      <c r="BK112" s="197" t="n">
        <f aca="false">Algae_yield_cost_factor/S112</f>
        <v>0.083049476157356</v>
      </c>
      <c r="BL112" s="197" t="n">
        <f aca="false">Algae_yield_cost_factor/T112</f>
        <v>0.076781101282677</v>
      </c>
      <c r="BM112" s="197" t="n">
        <f aca="false">Algae_yield_cost_factor/U112</f>
        <v>0.0719641817867449</v>
      </c>
      <c r="BN112" s="197" t="n">
        <f aca="false">Algae_yield_cost_factor/V112</f>
        <v>0.0685387123706296</v>
      </c>
      <c r="BO112" s="197" t="n">
        <f aca="false">Algae_yield_cost_factor/W112</f>
        <v>0.0662347978389931</v>
      </c>
      <c r="BP112" s="197" t="n">
        <f aca="false">Algae_yield_cost_factor/X112</f>
        <v>0.0647427403440612</v>
      </c>
      <c r="BQ112" s="197" t="n">
        <f aca="false">Algae_yield_cost_factor/Y112</f>
        <v>0.0637999922895438</v>
      </c>
      <c r="BR112" s="197" t="n">
        <f aca="false">Algae_yield_cost_factor/Z112</f>
        <v>0.0632135725303303</v>
      </c>
      <c r="BS112" s="197" t="n">
        <f aca="false">Algae_yield_cost_factor/AA112</f>
        <v>0.0628523448535902</v>
      </c>
      <c r="BT112" s="197" t="n">
        <f aca="false">Algae_yield_cost_factor/AB112</f>
        <v>0.0626311696519434</v>
      </c>
      <c r="BU112" s="197" t="n">
        <f aca="false">Algae_yield_cost_factor/AC112</f>
        <v>0.062496246147413</v>
      </c>
    </row>
    <row r="113" customFormat="false" ht="15" hidden="false" customHeight="false" outlineLevel="0" collapsed="false">
      <c r="A113" s="18" t="s">
        <v>708</v>
      </c>
      <c r="B113" s="18" t="s">
        <v>22</v>
      </c>
      <c r="C113" s="18" t="s">
        <v>682</v>
      </c>
      <c r="D113" s="18" t="s">
        <v>682</v>
      </c>
      <c r="E113" s="28" t="n">
        <v>6.106231</v>
      </c>
      <c r="F113" s="185" t="n">
        <f aca="false">E113/$B$2*$F$3/1000</f>
        <v>0.01496026595</v>
      </c>
      <c r="G113" s="18" t="n">
        <f aca="false">LOOKUP(RIGHT(D113,5),Ref!$C$4:$C$21,Ref!$E$4:$E$21)*$G$3</f>
        <v>3</v>
      </c>
      <c r="H113" s="218" t="n">
        <f aca="false">$E113</f>
        <v>6.106231</v>
      </c>
      <c r="I113" s="177" t="n">
        <f aca="false">$E113</f>
        <v>6.106231</v>
      </c>
      <c r="J113" s="177" t="n">
        <f aca="false">$E113</f>
        <v>6.106231</v>
      </c>
      <c r="K113" s="177" t="n">
        <f aca="false">$E113</f>
        <v>6.106231</v>
      </c>
      <c r="L113" s="177" t="n">
        <f aca="false">$E113</f>
        <v>6.106231</v>
      </c>
      <c r="M113" s="177" t="n">
        <f aca="false">M$3*$E113</f>
        <v>6.39582433699893</v>
      </c>
      <c r="N113" s="177" t="n">
        <f aca="false">N$3*$E113</f>
        <v>6.5694385704493</v>
      </c>
      <c r="O113" s="177" t="n">
        <f aca="false">O$3*$E113</f>
        <v>6.83411157774204</v>
      </c>
      <c r="P113" s="177" t="n">
        <f aca="false">P$3*$E113</f>
        <v>7.22016338865761</v>
      </c>
      <c r="Q113" s="177" t="n">
        <f aca="false">Q$3*$E113</f>
        <v>7.74844944435353</v>
      </c>
      <c r="R113" s="177" t="n">
        <f aca="false">R$3*$E113</f>
        <v>8.41158153557597</v>
      </c>
      <c r="S113" s="177" t="n">
        <f aca="false">S$3*$E113</f>
        <v>9.1593465</v>
      </c>
      <c r="T113" s="177" t="n">
        <f aca="false">T$3*$E113</f>
        <v>9.90711146442403</v>
      </c>
      <c r="U113" s="177" t="n">
        <f aca="false">U$3*$E113</f>
        <v>10.5702435556465</v>
      </c>
      <c r="V113" s="177" t="n">
        <f aca="false">V$3*$E113</f>
        <v>11.0985296113424</v>
      </c>
      <c r="W113" s="177" t="n">
        <f aca="false">W$3*$E113</f>
        <v>11.484581422258</v>
      </c>
      <c r="X113" s="177" t="n">
        <f aca="false">X$3*$E113</f>
        <v>11.7492544295507</v>
      </c>
      <c r="Y113" s="177" t="n">
        <f aca="false">Y$3*$E113</f>
        <v>11.9228686630011</v>
      </c>
      <c r="Z113" s="177" t="n">
        <f aca="false">Z$3*$E113</f>
        <v>12.0334747479069</v>
      </c>
      <c r="AA113" s="177" t="n">
        <f aca="false">AA$3*$E113</f>
        <v>12.102634047157</v>
      </c>
      <c r="AB113" s="177" t="n">
        <f aca="false">AB$3*$E113</f>
        <v>12.1453731903139</v>
      </c>
      <c r="AC113" s="177" t="n">
        <f aca="false">AC$3*$E113</f>
        <v>12.1715939062078</v>
      </c>
      <c r="AD113" s="219" t="n">
        <f aca="false">Algae_electricity_factor/H113</f>
        <v>0.00225074962010596</v>
      </c>
      <c r="AE113" s="220" t="n">
        <f aca="false">Algae_electricity_factor/I113</f>
        <v>0.00225074962010596</v>
      </c>
      <c r="AF113" s="220" t="n">
        <f aca="false">Algae_electricity_factor/J113</f>
        <v>0.00225074962010596</v>
      </c>
      <c r="AG113" s="220" t="n">
        <f aca="false">Algae_electricity_factor/K113</f>
        <v>0.00225074962010596</v>
      </c>
      <c r="AH113" s="220" t="n">
        <f aca="false">Algae_electricity_factor/L113</f>
        <v>0.00225074962010596</v>
      </c>
      <c r="AI113" s="220" t="n">
        <f aca="false">Algae_electricity_factor/M113</f>
        <v>0.00214883905175827</v>
      </c>
      <c r="AJ113" s="220" t="n">
        <f aca="false">Algae_electricity_factor/N113</f>
        <v>0.00209205047830888</v>
      </c>
      <c r="AK113" s="220" t="n">
        <f aca="false">Algae_electricity_factor/O113</f>
        <v>0.00201102907776494</v>
      </c>
      <c r="AL113" s="220" t="n">
        <f aca="false">Algae_electricity_factor/P113</f>
        <v>0.00190350222892733</v>
      </c>
      <c r="AM113" s="220" t="n">
        <f aca="false">Algae_electricity_factor/Q113</f>
        <v>0.00177372223981464</v>
      </c>
      <c r="AN113" s="220" t="n">
        <f aca="false">Algae_electricity_factor/R113</f>
        <v>0.00163388977987101</v>
      </c>
      <c r="AO113" s="220" t="n">
        <f aca="false">Algae_electricity_factor/S113</f>
        <v>0.00150049974673731</v>
      </c>
      <c r="AP113" s="220" t="n">
        <f aca="false">Algae_electricity_factor/T113</f>
        <v>0.00138724563187584</v>
      </c>
      <c r="AQ113" s="220" t="n">
        <f aca="false">Algae_electricity_factor/U113</f>
        <v>0.00130021574537775</v>
      </c>
      <c r="AR113" s="220" t="n">
        <f aca="false">Algae_electricity_factor/V113</f>
        <v>0.0012383259390941</v>
      </c>
      <c r="AS113" s="220" t="n">
        <f aca="false">Algae_electricity_factor/W113</f>
        <v>0.00119669987074088</v>
      </c>
      <c r="AT113" s="220" t="n">
        <f aca="false">Algae_electricity_factor/X113</f>
        <v>0.00116974206201226</v>
      </c>
      <c r="AU113" s="220" t="n">
        <f aca="false">Algae_electricity_factor/Y113</f>
        <v>0.00115270892366518</v>
      </c>
      <c r="AV113" s="220" t="n">
        <f aca="false">Algae_electricity_factor/Z113</f>
        <v>0.00114211376110793</v>
      </c>
      <c r="AW113" s="220" t="n">
        <f aca="false">Algae_electricity_factor/AA113</f>
        <v>0.00113558726554719</v>
      </c>
      <c r="AX113" s="220" t="n">
        <f aca="false">Algae_electricity_factor/AB113</f>
        <v>0.00113159117370638</v>
      </c>
      <c r="AY113" s="220" t="n">
        <f aca="false">Algae_electricity_factor/AC113</f>
        <v>0.00112915343786813</v>
      </c>
      <c r="AZ113" s="221" t="n">
        <f aca="false">Algae_yield_cost_factor/H113</f>
        <v>0.124601021364278</v>
      </c>
      <c r="BA113" s="197" t="n">
        <f aca="false">Algae_yield_cost_factor/I113</f>
        <v>0.124601021364278</v>
      </c>
      <c r="BB113" s="197" t="n">
        <f aca="false">Algae_yield_cost_factor/J113</f>
        <v>0.124601021364278</v>
      </c>
      <c r="BC113" s="197" t="n">
        <f aca="false">Algae_yield_cost_factor/K113</f>
        <v>0.124601021364278</v>
      </c>
      <c r="BD113" s="197" t="n">
        <f aca="false">Algae_yield_cost_factor/L113</f>
        <v>0.124601021364278</v>
      </c>
      <c r="BE113" s="197" t="n">
        <f aca="false">Algae_yield_cost_factor/M113</f>
        <v>0.118959273925779</v>
      </c>
      <c r="BF113" s="197" t="n">
        <f aca="false">Algae_yield_cost_factor/N113</f>
        <v>0.115815470550048</v>
      </c>
      <c r="BG113" s="197" t="n">
        <f aca="false">Algae_yield_cost_factor/O113</f>
        <v>0.111330143008522</v>
      </c>
      <c r="BH113" s="197" t="n">
        <f aca="false">Algae_yield_cost_factor/P113</f>
        <v>0.105377479473865</v>
      </c>
      <c r="BI113" s="197" t="n">
        <f aca="false">Algae_yield_cost_factor/Q113</f>
        <v>0.0981928868156533</v>
      </c>
      <c r="BJ113" s="197" t="n">
        <f aca="false">Algae_yield_cost_factor/R113</f>
        <v>0.0904517915053557</v>
      </c>
      <c r="BK113" s="197" t="n">
        <f aca="false">Algae_yield_cost_factor/S113</f>
        <v>0.0830673475761855</v>
      </c>
      <c r="BL113" s="197" t="n">
        <f aca="false">Algae_yield_cost_factor/T113</f>
        <v>0.0767976238097621</v>
      </c>
      <c r="BM113" s="197" t="n">
        <f aca="false">Algae_yield_cost_factor/U113</f>
        <v>0.0719796677608045</v>
      </c>
      <c r="BN113" s="197" t="n">
        <f aca="false">Algae_yield_cost_factor/V113</f>
        <v>0.0685534612178408</v>
      </c>
      <c r="BO113" s="197" t="n">
        <f aca="false">Algae_yield_cost_factor/W113</f>
        <v>0.0662490509067791</v>
      </c>
      <c r="BP113" s="197" t="n">
        <f aca="false">Algae_yield_cost_factor/X113</f>
        <v>0.064756672335958</v>
      </c>
      <c r="BQ113" s="197" t="n">
        <f aca="false">Algae_yield_cost_factor/Y113</f>
        <v>0.0638137214114634</v>
      </c>
      <c r="BR113" s="197" t="n">
        <f aca="false">Algae_yield_cost_factor/Z113</f>
        <v>0.0632271754605674</v>
      </c>
      <c r="BS113" s="197" t="n">
        <f aca="false">Algae_yield_cost_factor/AA113</f>
        <v>0.0628658700512346</v>
      </c>
      <c r="BT113" s="197" t="n">
        <f aca="false">Algae_yield_cost_factor/AB113</f>
        <v>0.0626446472548907</v>
      </c>
      <c r="BU113" s="197" t="n">
        <f aca="false">Algae_yield_cost_factor/AC113</f>
        <v>0.062509694716168</v>
      </c>
    </row>
    <row r="114" customFormat="false" ht="15" hidden="false" customHeight="false" outlineLevel="0" collapsed="false">
      <c r="A114" s="18" t="s">
        <v>708</v>
      </c>
      <c r="B114" s="18" t="s">
        <v>22</v>
      </c>
      <c r="C114" s="18" t="s">
        <v>683</v>
      </c>
      <c r="D114" s="18" t="s">
        <v>683</v>
      </c>
      <c r="E114" s="28" t="n">
        <v>5.541795</v>
      </c>
      <c r="F114" s="185" t="n">
        <f aca="false">E114/$B$2*$F$3/1000</f>
        <v>0.01357739775</v>
      </c>
      <c r="G114" s="18" t="n">
        <f aca="false">LOOKUP(RIGHT(D114,5),Ref!$C$4:$C$21,Ref!$E$4:$E$21)*$G$3</f>
        <v>3</v>
      </c>
      <c r="H114" s="218" t="n">
        <f aca="false">$E114</f>
        <v>5.541795</v>
      </c>
      <c r="I114" s="177" t="n">
        <f aca="false">$E114</f>
        <v>5.541795</v>
      </c>
      <c r="J114" s="177" t="n">
        <f aca="false">$E114</f>
        <v>5.541795</v>
      </c>
      <c r="K114" s="177" t="n">
        <f aca="false">$E114</f>
        <v>5.541795</v>
      </c>
      <c r="L114" s="177" t="n">
        <f aca="false">$E114</f>
        <v>5.541795</v>
      </c>
      <c r="M114" s="177" t="n">
        <f aca="false">M$3*$E114</f>
        <v>5.80461946684607</v>
      </c>
      <c r="N114" s="177" t="n">
        <f aca="false">N$3*$E114</f>
        <v>5.96218548275083</v>
      </c>
      <c r="O114" s="177" t="n">
        <f aca="false">O$3*$E114</f>
        <v>6.20239315724756</v>
      </c>
      <c r="P114" s="177" t="n">
        <f aca="false">P$3*$E114</f>
        <v>6.55275985570245</v>
      </c>
      <c r="Q114" s="177" t="n">
        <f aca="false">Q$3*$E114</f>
        <v>7.03221322424113</v>
      </c>
      <c r="R114" s="177" t="n">
        <f aca="false">R$3*$E114</f>
        <v>7.63404799064222</v>
      </c>
      <c r="S114" s="177" t="n">
        <f aca="false">S$3*$E114</f>
        <v>8.3126925</v>
      </c>
      <c r="T114" s="177" t="n">
        <f aca="false">T$3*$E114</f>
        <v>8.99133700935778</v>
      </c>
      <c r="U114" s="177" t="n">
        <f aca="false">U$3*$E114</f>
        <v>9.59317177575887</v>
      </c>
      <c r="V114" s="177" t="n">
        <f aca="false">V$3*$E114</f>
        <v>10.0726251442976</v>
      </c>
      <c r="W114" s="177" t="n">
        <f aca="false">W$3*$E114</f>
        <v>10.4229918427524</v>
      </c>
      <c r="X114" s="177" t="n">
        <f aca="false">X$3*$E114</f>
        <v>10.6631995172492</v>
      </c>
      <c r="Y114" s="177" t="n">
        <f aca="false">Y$3*$E114</f>
        <v>10.8207655331539</v>
      </c>
      <c r="Z114" s="177" t="n">
        <f aca="false">Z$3*$E114</f>
        <v>10.9211476261833</v>
      </c>
      <c r="AA114" s="177" t="n">
        <f aca="false">AA$3*$E114</f>
        <v>10.9839141115631</v>
      </c>
      <c r="AB114" s="177" t="n">
        <f aca="false">AB$3*$E114</f>
        <v>11.0227026162645</v>
      </c>
      <c r="AC114" s="177" t="n">
        <f aca="false">AC$3*$E114</f>
        <v>11.0464995922121</v>
      </c>
      <c r="AD114" s="219" t="n">
        <f aca="false">Algae_electricity_factor/H114</f>
        <v>0.00247999016627812</v>
      </c>
      <c r="AE114" s="220" t="n">
        <f aca="false">Algae_electricity_factor/I114</f>
        <v>0.00247999016627812</v>
      </c>
      <c r="AF114" s="220" t="n">
        <f aca="false">Algae_electricity_factor/J114</f>
        <v>0.00247999016627812</v>
      </c>
      <c r="AG114" s="220" t="n">
        <f aca="false">Algae_electricity_factor/K114</f>
        <v>0.00247999016627812</v>
      </c>
      <c r="AH114" s="220" t="n">
        <f aca="false">Algae_electricity_factor/L114</f>
        <v>0.00247999016627812</v>
      </c>
      <c r="AI114" s="220" t="n">
        <f aca="false">Algae_electricity_factor/M114</f>
        <v>0.0023676999296901</v>
      </c>
      <c r="AJ114" s="220" t="n">
        <f aca="false">Algae_electricity_factor/N114</f>
        <v>0.00230512739720876</v>
      </c>
      <c r="AK114" s="220" t="n">
        <f aca="false">Algae_electricity_factor/O114</f>
        <v>0.00221585390591851</v>
      </c>
      <c r="AL114" s="220" t="n">
        <f aca="false">Algae_electricity_factor/P114</f>
        <v>0.00209737536643726</v>
      </c>
      <c r="AM114" s="220" t="n">
        <f aca="false">Algae_electricity_factor/Q114</f>
        <v>0.00195437718756208</v>
      </c>
      <c r="AN114" s="220" t="n">
        <f aca="false">Algae_electricity_factor/R114</f>
        <v>0.00180030268612093</v>
      </c>
      <c r="AO114" s="220" t="n">
        <f aca="false">Algae_electricity_factor/S114</f>
        <v>0.00165332677751875</v>
      </c>
      <c r="AP114" s="220" t="n">
        <f aca="false">Algae_electricity_factor/T114</f>
        <v>0.00152853764564998</v>
      </c>
      <c r="AQ114" s="220" t="n">
        <f aca="false">Algae_electricity_factor/U114</f>
        <v>0.00143264369957996</v>
      </c>
      <c r="AR114" s="220" t="n">
        <f aca="false">Algae_electricity_factor/V114</f>
        <v>0.00136445036985318</v>
      </c>
      <c r="AS114" s="220" t="n">
        <f aca="false">Algae_electricity_factor/W114</f>
        <v>0.0013185846550466</v>
      </c>
      <c r="AT114" s="220" t="n">
        <f aca="false">Algae_electricity_factor/X114</f>
        <v>0.00128888117316919</v>
      </c>
      <c r="AU114" s="220" t="n">
        <f aca="false">Algae_electricity_factor/Y114</f>
        <v>0.00127011319683621</v>
      </c>
      <c r="AV114" s="220" t="n">
        <f aca="false">Algae_electricity_factor/Z114</f>
        <v>0.00125843890898235</v>
      </c>
      <c r="AW114" s="220" t="n">
        <f aca="false">Algae_electricity_factor/AA114</f>
        <v>0.0012512476849269</v>
      </c>
      <c r="AX114" s="220" t="n">
        <f aca="false">Algae_electricity_factor/AB114</f>
        <v>0.00124684458811852</v>
      </c>
      <c r="AY114" s="220" t="n">
        <f aca="false">Algae_electricity_factor/AC114</f>
        <v>0.00124415856704677</v>
      </c>
      <c r="AZ114" s="221" t="n">
        <f aca="false">Algae_yield_cost_factor/H114</f>
        <v>0.137291729355961</v>
      </c>
      <c r="BA114" s="197" t="n">
        <f aca="false">Algae_yield_cost_factor/I114</f>
        <v>0.137291729355961</v>
      </c>
      <c r="BB114" s="197" t="n">
        <f aca="false">Algae_yield_cost_factor/J114</f>
        <v>0.137291729355961</v>
      </c>
      <c r="BC114" s="197" t="n">
        <f aca="false">Algae_yield_cost_factor/K114</f>
        <v>0.137291729355961</v>
      </c>
      <c r="BD114" s="197" t="n">
        <f aca="false">Algae_yield_cost_factor/L114</f>
        <v>0.137291729355961</v>
      </c>
      <c r="BE114" s="197" t="n">
        <f aca="false">Algae_yield_cost_factor/M114</f>
        <v>0.131075365686223</v>
      </c>
      <c r="BF114" s="197" t="n">
        <f aca="false">Algae_yield_cost_factor/N114</f>
        <v>0.127611363565828</v>
      </c>
      <c r="BG114" s="197" t="n">
        <f aca="false">Algae_yield_cost_factor/O114</f>
        <v>0.122669202031665</v>
      </c>
      <c r="BH114" s="197" t="n">
        <f aca="false">Algae_yield_cost_factor/P114</f>
        <v>0.116110255226903</v>
      </c>
      <c r="BI114" s="197" t="n">
        <f aca="false">Algae_yield_cost_factor/Q114</f>
        <v>0.108193906388315</v>
      </c>
      <c r="BJ114" s="197" t="n">
        <f aca="false">Algae_yield_cost_factor/R114</f>
        <v>0.0996643746828492</v>
      </c>
      <c r="BK114" s="197" t="n">
        <f aca="false">Algae_yield_cost_factor/S114</f>
        <v>0.0915278195706407</v>
      </c>
      <c r="BL114" s="197" t="n">
        <f aca="false">Algae_yield_cost_factor/T114</f>
        <v>0.084619519710402</v>
      </c>
      <c r="BM114" s="197" t="n">
        <f aca="false">Algae_yield_cost_factor/U114</f>
        <v>0.0793108512044789</v>
      </c>
      <c r="BN114" s="197" t="n">
        <f aca="false">Algae_yield_cost_factor/V114</f>
        <v>0.0755356829412992</v>
      </c>
      <c r="BO114" s="197" t="n">
        <f aca="false">Algae_yield_cost_factor/W114</f>
        <v>0.0729965667022243</v>
      </c>
      <c r="BP114" s="197" t="n">
        <f aca="false">Algae_yield_cost_factor/X114</f>
        <v>0.0713521882485132</v>
      </c>
      <c r="BQ114" s="197" t="n">
        <f aca="false">Algae_yield_cost_factor/Y114</f>
        <v>0.0703131970612485</v>
      </c>
      <c r="BR114" s="197" t="n">
        <f aca="false">Algae_yield_cost_factor/Z114</f>
        <v>0.0696669109629202</v>
      </c>
      <c r="BS114" s="197" t="n">
        <f aca="false">Algae_yield_cost_factor/AA114</f>
        <v>0.0692688063251745</v>
      </c>
      <c r="BT114" s="197" t="n">
        <f aca="false">Algae_yield_cost_factor/AB114</f>
        <v>0.0690250518201916</v>
      </c>
      <c r="BU114" s="197" t="n">
        <f aca="false">Algae_yield_cost_factor/AC114</f>
        <v>0.0688763542636278</v>
      </c>
    </row>
    <row r="115" customFormat="false" ht="15" hidden="false" customHeight="false" outlineLevel="0" collapsed="false">
      <c r="A115" s="18" t="s">
        <v>708</v>
      </c>
      <c r="B115" s="18" t="s">
        <v>22</v>
      </c>
      <c r="C115" s="18" t="s">
        <v>684</v>
      </c>
      <c r="D115" s="18" t="s">
        <v>684</v>
      </c>
      <c r="E115" s="28" t="n">
        <v>5.9726775</v>
      </c>
      <c r="F115" s="185" t="n">
        <f aca="false">E115/$B$2*$F$3/1000</f>
        <v>0.014633059875</v>
      </c>
      <c r="G115" s="18" t="n">
        <f aca="false">LOOKUP(RIGHT(D115,5),Ref!$C$4:$C$21,Ref!$E$4:$E$21)*$G$3</f>
        <v>3.5</v>
      </c>
      <c r="H115" s="218" t="n">
        <f aca="false">$E115</f>
        <v>5.9726775</v>
      </c>
      <c r="I115" s="177" t="n">
        <f aca="false">$E115</f>
        <v>5.9726775</v>
      </c>
      <c r="J115" s="177" t="n">
        <f aca="false">$E115</f>
        <v>5.9726775</v>
      </c>
      <c r="K115" s="177" t="n">
        <f aca="false">$E115</f>
        <v>5.9726775</v>
      </c>
      <c r="L115" s="177" t="n">
        <f aca="false">$E115</f>
        <v>5.9726775</v>
      </c>
      <c r="M115" s="177" t="n">
        <f aca="false">M$3*$E115</f>
        <v>6.25593694564551</v>
      </c>
      <c r="N115" s="177" t="n">
        <f aca="false">N$3*$E115</f>
        <v>6.42575394500383</v>
      </c>
      <c r="O115" s="177" t="n">
        <f aca="false">O$3*$E115</f>
        <v>6.68463811029576</v>
      </c>
      <c r="P115" s="177" t="n">
        <f aca="false">P$3*$E115</f>
        <v>7.06224632146394</v>
      </c>
      <c r="Q115" s="177" t="n">
        <f aca="false">Q$3*$E115</f>
        <v>7.57897787623459</v>
      </c>
      <c r="R115" s="177" t="n">
        <f aca="false">R$3*$E115</f>
        <v>8.22760615786564</v>
      </c>
      <c r="S115" s="177" t="n">
        <f aca="false">S$3*$E115</f>
        <v>8.95901625</v>
      </c>
      <c r="T115" s="177" t="n">
        <f aca="false">T$3*$E115</f>
        <v>9.69042634213436</v>
      </c>
      <c r="U115" s="177" t="n">
        <f aca="false">U$3*$E115</f>
        <v>10.3390546237654</v>
      </c>
      <c r="V115" s="177" t="n">
        <f aca="false">V$3*$E115</f>
        <v>10.8557861785361</v>
      </c>
      <c r="W115" s="177" t="n">
        <f aca="false">W$3*$E115</f>
        <v>11.2333943897042</v>
      </c>
      <c r="X115" s="177" t="n">
        <f aca="false">X$3*$E115</f>
        <v>11.4922785549962</v>
      </c>
      <c r="Y115" s="177" t="n">
        <f aca="false">Y$3*$E115</f>
        <v>11.6620955543545</v>
      </c>
      <c r="Z115" s="177" t="n">
        <f aca="false">Z$3*$E115</f>
        <v>11.7702824989166</v>
      </c>
      <c r="AA115" s="177" t="n">
        <f aca="false">AA$3*$E115</f>
        <v>11.8379291684491</v>
      </c>
      <c r="AB115" s="177" t="n">
        <f aca="false">AB$3*$E115</f>
        <v>11.8797335349565</v>
      </c>
      <c r="AC115" s="177" t="n">
        <f aca="false">AC$3*$E115</f>
        <v>11.9053807598737</v>
      </c>
      <c r="AD115" s="219" t="n">
        <f aca="false">Algae_electricity_factor/H115</f>
        <v>0.00230107805143158</v>
      </c>
      <c r="AE115" s="220" t="n">
        <f aca="false">Algae_electricity_factor/I115</f>
        <v>0.00230107805143158</v>
      </c>
      <c r="AF115" s="220" t="n">
        <f aca="false">Algae_electricity_factor/J115</f>
        <v>0.00230107805143158</v>
      </c>
      <c r="AG115" s="220" t="n">
        <f aca="false">Algae_electricity_factor/K115</f>
        <v>0.00230107805143158</v>
      </c>
      <c r="AH115" s="220" t="n">
        <f aca="false">Algae_electricity_factor/L115</f>
        <v>0.00230107805143158</v>
      </c>
      <c r="AI115" s="220" t="n">
        <f aca="false">Algae_electricity_factor/M115</f>
        <v>0.00219688868716869</v>
      </c>
      <c r="AJ115" s="220" t="n">
        <f aca="false">Algae_electricity_factor/N115</f>
        <v>0.00213883027908581</v>
      </c>
      <c r="AK115" s="220" t="n">
        <f aca="false">Algae_electricity_factor/O115</f>
        <v>0.00205599717991632</v>
      </c>
      <c r="AL115" s="220" t="n">
        <f aca="false">Algae_electricity_factor/P115</f>
        <v>0.00194606595096507</v>
      </c>
      <c r="AM115" s="220" t="n">
        <f aca="false">Algae_electricity_factor/Q115</f>
        <v>0.00181338398501269</v>
      </c>
      <c r="AN115" s="220" t="n">
        <f aca="false">Algae_electricity_factor/R115</f>
        <v>0.0016704247675237</v>
      </c>
      <c r="AO115" s="220" t="n">
        <f aca="false">Algae_electricity_factor/S115</f>
        <v>0.00153405203428772</v>
      </c>
      <c r="AP115" s="220" t="n">
        <f aca="false">Algae_electricity_factor/T115</f>
        <v>0.00141826547339528</v>
      </c>
      <c r="AQ115" s="220" t="n">
        <f aca="false">Algae_electricity_factor/U115</f>
        <v>0.00132928953406805</v>
      </c>
      <c r="AR115" s="220" t="n">
        <f aca="false">Algae_electricity_factor/V115</f>
        <v>0.00126601582580016</v>
      </c>
      <c r="AS115" s="220" t="n">
        <f aca="false">Algae_electricity_factor/W115</f>
        <v>0.00122345896767639</v>
      </c>
      <c r="AT115" s="220" t="n">
        <f aca="false">Algae_electricity_factor/X115</f>
        <v>0.00119589836234472</v>
      </c>
      <c r="AU115" s="220" t="n">
        <f aca="false">Algae_electricity_factor/Y115</f>
        <v>0.0011784843503874</v>
      </c>
      <c r="AV115" s="220" t="n">
        <f aca="false">Algae_electricity_factor/Z115</f>
        <v>0.00116765227213487</v>
      </c>
      <c r="AW115" s="220" t="n">
        <f aca="false">Algae_electricity_factor/AA115</f>
        <v>0.00116097983929142</v>
      </c>
      <c r="AX115" s="220" t="n">
        <f aca="false">Algae_electricity_factor/AB115</f>
        <v>0.00115689439187237</v>
      </c>
      <c r="AY115" s="220" t="n">
        <f aca="false">Algae_electricity_factor/AC115</f>
        <v>0.00115440214645223</v>
      </c>
      <c r="AZ115" s="221" t="n">
        <f aca="false">Algae_yield_cost_factor/H115</f>
        <v>0.127387192642867</v>
      </c>
      <c r="BA115" s="197" t="n">
        <f aca="false">Algae_yield_cost_factor/I115</f>
        <v>0.127387192642867</v>
      </c>
      <c r="BB115" s="197" t="n">
        <f aca="false">Algae_yield_cost_factor/J115</f>
        <v>0.127387192642867</v>
      </c>
      <c r="BC115" s="197" t="n">
        <f aca="false">Algae_yield_cost_factor/K115</f>
        <v>0.127387192642867</v>
      </c>
      <c r="BD115" s="197" t="n">
        <f aca="false">Algae_yield_cost_factor/L115</f>
        <v>0.127387192642867</v>
      </c>
      <c r="BE115" s="197" t="n">
        <f aca="false">Algae_yield_cost_factor/M115</f>
        <v>0.121619291546058</v>
      </c>
      <c r="BF115" s="197" t="n">
        <f aca="false">Algae_yield_cost_factor/N115</f>
        <v>0.118405190394474</v>
      </c>
      <c r="BG115" s="197" t="n">
        <f aca="false">Algae_yield_cost_factor/O115</f>
        <v>0.113819567601477</v>
      </c>
      <c r="BH115" s="197" t="n">
        <f aca="false">Algae_yield_cost_factor/P115</f>
        <v>0.107733798093933</v>
      </c>
      <c r="BI115" s="197" t="n">
        <f aca="false">Algae_yield_cost_factor/Q115</f>
        <v>0.10038855261367</v>
      </c>
      <c r="BJ115" s="197" t="n">
        <f aca="false">Algae_yield_cost_factor/R115</f>
        <v>0.0924743606691538</v>
      </c>
      <c r="BK115" s="197" t="n">
        <f aca="false">Algae_yield_cost_factor/S115</f>
        <v>0.0849247950952447</v>
      </c>
      <c r="BL115" s="197" t="n">
        <f aca="false">Algae_yield_cost_factor/T115</f>
        <v>0.078514875653927</v>
      </c>
      <c r="BM115" s="197" t="n">
        <f aca="false">Algae_yield_cost_factor/U115</f>
        <v>0.0735891865332968</v>
      </c>
      <c r="BN115" s="197" t="n">
        <f aca="false">Algae_yield_cost_factor/V115</f>
        <v>0.0700863674701467</v>
      </c>
      <c r="BO115" s="197" t="n">
        <f aca="false">Algae_yield_cost_factor/W115</f>
        <v>0.0677304288348991</v>
      </c>
      <c r="BP115" s="197" t="n">
        <f aca="false">Algae_yield_cost_factor/X115</f>
        <v>0.0662046795720461</v>
      </c>
      <c r="BQ115" s="197" t="n">
        <f aca="false">Algae_yield_cost_factor/Y115</f>
        <v>0.0652406435653091</v>
      </c>
      <c r="BR115" s="197" t="n">
        <f aca="false">Algae_yield_cost_factor/Z115</f>
        <v>0.0646409820117956</v>
      </c>
      <c r="BS115" s="197" t="n">
        <f aca="false">Algae_yield_cost_factor/AA115</f>
        <v>0.0642715975454594</v>
      </c>
      <c r="BT115" s="197" t="n">
        <f aca="false">Algae_yield_cost_factor/AB115</f>
        <v>0.0640454280432651</v>
      </c>
      <c r="BU115" s="197" t="n">
        <f aca="false">Algae_yield_cost_factor/AC115</f>
        <v>0.063907457865656</v>
      </c>
    </row>
    <row r="116" customFormat="false" ht="15" hidden="false" customHeight="false" outlineLevel="0" collapsed="false">
      <c r="A116" s="18" t="s">
        <v>708</v>
      </c>
      <c r="B116" s="18" t="s">
        <v>22</v>
      </c>
      <c r="C116" s="18" t="s">
        <v>685</v>
      </c>
      <c r="D116" s="18" t="s">
        <v>685</v>
      </c>
      <c r="E116" s="28" t="n">
        <v>5.90716</v>
      </c>
      <c r="F116" s="185" t="n">
        <f aca="false">E116/$B$2*$F$3/1000</f>
        <v>0.014472542</v>
      </c>
      <c r="G116" s="18" t="n">
        <f aca="false">LOOKUP(RIGHT(D116,5),Ref!$C$4:$C$21,Ref!$E$4:$E$21)*$G$3</f>
        <v>4</v>
      </c>
      <c r="H116" s="218" t="n">
        <f aca="false">$E116</f>
        <v>5.90716</v>
      </c>
      <c r="I116" s="177" t="n">
        <f aca="false">$E116</f>
        <v>5.90716</v>
      </c>
      <c r="J116" s="177" t="n">
        <f aca="false">$E116</f>
        <v>5.90716</v>
      </c>
      <c r="K116" s="177" t="n">
        <f aca="false">$E116</f>
        <v>5.90716</v>
      </c>
      <c r="L116" s="177" t="n">
        <f aca="false">$E116</f>
        <v>5.90716</v>
      </c>
      <c r="M116" s="177" t="n">
        <f aca="false">M$3*$E116</f>
        <v>6.1873122209996</v>
      </c>
      <c r="N116" s="177" t="n">
        <f aca="false">N$3*$E116</f>
        <v>6.35526640669429</v>
      </c>
      <c r="O116" s="177" t="n">
        <f aca="false">O$3*$E116</f>
        <v>6.61131073285217</v>
      </c>
      <c r="P116" s="177" t="n">
        <f aca="false">P$3*$E116</f>
        <v>6.98477675720796</v>
      </c>
      <c r="Q116" s="177" t="n">
        <f aca="false">Q$3*$E116</f>
        <v>7.49584000665998</v>
      </c>
      <c r="R116" s="177" t="n">
        <f aca="false">R$3*$E116</f>
        <v>8.13735313709765</v>
      </c>
      <c r="S116" s="177" t="n">
        <f aca="false">S$3*$E116</f>
        <v>8.86074</v>
      </c>
      <c r="T116" s="177" t="n">
        <f aca="false">T$3*$E116</f>
        <v>9.58412686290235</v>
      </c>
      <c r="U116" s="177" t="n">
        <f aca="false">U$3*$E116</f>
        <v>10.22563999334</v>
      </c>
      <c r="V116" s="177" t="n">
        <f aca="false">V$3*$E116</f>
        <v>10.736703242792</v>
      </c>
      <c r="W116" s="177" t="n">
        <f aca="false">W$3*$E116</f>
        <v>11.1101692671478</v>
      </c>
      <c r="X116" s="177" t="n">
        <f aca="false">X$3*$E116</f>
        <v>11.3662135933057</v>
      </c>
      <c r="Y116" s="177" t="n">
        <f aca="false">Y$3*$E116</f>
        <v>11.5341677790004</v>
      </c>
      <c r="Z116" s="177" t="n">
        <f aca="false">Z$3*$E116</f>
        <v>11.6411679629948</v>
      </c>
      <c r="AA116" s="177" t="n">
        <f aca="false">AA$3*$E116</f>
        <v>11.7080725799603</v>
      </c>
      <c r="AB116" s="177" t="n">
        <f aca="false">AB$3*$E116</f>
        <v>11.7494183719703</v>
      </c>
      <c r="AC116" s="177" t="n">
        <f aca="false">AC$3*$E116</f>
        <v>11.7747842587341</v>
      </c>
      <c r="AD116" s="219" t="n">
        <f aca="false">Algae_electricity_factor/H116</f>
        <v>0.00232659977104552</v>
      </c>
      <c r="AE116" s="220" t="n">
        <f aca="false">Algae_electricity_factor/I116</f>
        <v>0.00232659977104552</v>
      </c>
      <c r="AF116" s="220" t="n">
        <f aca="false">Algae_electricity_factor/J116</f>
        <v>0.00232659977104552</v>
      </c>
      <c r="AG116" s="220" t="n">
        <f aca="false">Algae_electricity_factor/K116</f>
        <v>0.00232659977104552</v>
      </c>
      <c r="AH116" s="220" t="n">
        <f aca="false">Algae_electricity_factor/L116</f>
        <v>0.00232659977104552</v>
      </c>
      <c r="AI116" s="220" t="n">
        <f aca="false">Algae_electricity_factor/M116</f>
        <v>0.00222125482158211</v>
      </c>
      <c r="AJ116" s="220" t="n">
        <f aca="false">Algae_electricity_factor/N116</f>
        <v>0.00216255247601462</v>
      </c>
      <c r="AK116" s="220" t="n">
        <f aca="false">Algae_electricity_factor/O116</f>
        <v>0.00207880065827736</v>
      </c>
      <c r="AL116" s="220" t="n">
        <f aca="false">Algae_electricity_factor/P116</f>
        <v>0.00196765015994914</v>
      </c>
      <c r="AM116" s="220" t="n">
        <f aca="false">Algae_electricity_factor/Q116</f>
        <v>0.00183349659161858</v>
      </c>
      <c r="AN116" s="220" t="n">
        <f aca="false">Algae_electricity_factor/R116</f>
        <v>0.00168895178468698</v>
      </c>
      <c r="AO116" s="220" t="n">
        <f aca="false">Algae_electricity_factor/S116</f>
        <v>0.00155106651403035</v>
      </c>
      <c r="AP116" s="220" t="n">
        <f aca="false">Algae_electricity_factor/T116</f>
        <v>0.00143399574109637</v>
      </c>
      <c r="AQ116" s="220" t="n">
        <f aca="false">Algae_electricity_factor/U116</f>
        <v>0.00134403295172532</v>
      </c>
      <c r="AR116" s="220" t="n">
        <f aca="false">Algae_electricity_factor/V116</f>
        <v>0.00128005746202922</v>
      </c>
      <c r="AS116" s="220" t="n">
        <f aca="false">Algae_electricity_factor/W116</f>
        <v>0.00123702859723014</v>
      </c>
      <c r="AT116" s="220" t="n">
        <f aca="false">Algae_electricity_factor/X116</f>
        <v>0.00120916231167992</v>
      </c>
      <c r="AU116" s="220" t="n">
        <f aca="false">Algae_electricity_factor/Y116</f>
        <v>0.00119155515741252</v>
      </c>
      <c r="AV116" s="220" t="n">
        <f aca="false">Algae_electricity_factor/Z116</f>
        <v>0.00118060293840083</v>
      </c>
      <c r="AW116" s="220" t="n">
        <f aca="false">Algae_electricity_factor/AA116</f>
        <v>0.0011738565002623</v>
      </c>
      <c r="AX116" s="220" t="n">
        <f aca="false">Algae_electricity_factor/AB116</f>
        <v>0.00116972574032399</v>
      </c>
      <c r="AY116" s="220" t="n">
        <f aca="false">Algae_electricity_factor/AC116</f>
        <v>0.0011672058529085</v>
      </c>
      <c r="AZ116" s="221" t="n">
        <f aca="false">Algae_yield_cost_factor/H116</f>
        <v>0.128800069625034</v>
      </c>
      <c r="BA116" s="197" t="n">
        <f aca="false">Algae_yield_cost_factor/I116</f>
        <v>0.128800069625034</v>
      </c>
      <c r="BB116" s="197" t="n">
        <f aca="false">Algae_yield_cost_factor/J116</f>
        <v>0.128800069625034</v>
      </c>
      <c r="BC116" s="197" t="n">
        <f aca="false">Algae_yield_cost_factor/K116</f>
        <v>0.128800069625034</v>
      </c>
      <c r="BD116" s="197" t="n">
        <f aca="false">Algae_yield_cost_factor/L116</f>
        <v>0.128800069625034</v>
      </c>
      <c r="BE116" s="197" t="n">
        <f aca="false">Algae_yield_cost_factor/M116</f>
        <v>0.122968195576738</v>
      </c>
      <c r="BF116" s="197" t="n">
        <f aca="false">Algae_yield_cost_factor/N116</f>
        <v>0.119718446182648</v>
      </c>
      <c r="BG116" s="197" t="n">
        <f aca="false">Algae_yield_cost_factor/O116</f>
        <v>0.115081963324689</v>
      </c>
      <c r="BH116" s="197" t="n">
        <f aca="false">Algae_yield_cost_factor/P116</f>
        <v>0.108928695323163</v>
      </c>
      <c r="BI116" s="197" t="n">
        <f aca="false">Algae_yield_cost_factor/Q116</f>
        <v>0.101501982247515</v>
      </c>
      <c r="BJ116" s="197" t="n">
        <f aca="false">Algae_yield_cost_factor/R116</f>
        <v>0.0935000124079151</v>
      </c>
      <c r="BK116" s="197" t="n">
        <f aca="false">Algae_yield_cost_factor/S116</f>
        <v>0.0858667130833562</v>
      </c>
      <c r="BL116" s="197" t="n">
        <f aca="false">Algae_yield_cost_factor/T116</f>
        <v>0.0793856999359265</v>
      </c>
      <c r="BM116" s="197" t="n">
        <f aca="false">Algae_yield_cost_factor/U116</f>
        <v>0.074405379006278</v>
      </c>
      <c r="BN116" s="197" t="n">
        <f aca="false">Algae_yield_cost_factor/V116</f>
        <v>0.070863709472179</v>
      </c>
      <c r="BO116" s="197" t="n">
        <f aca="false">Algae_yield_cost_factor/W116</f>
        <v>0.0684816406475452</v>
      </c>
      <c r="BP116" s="197" t="n">
        <f aca="false">Algae_yield_cost_factor/X116</f>
        <v>0.0669389689926579</v>
      </c>
      <c r="BQ116" s="197" t="n">
        <f aca="false">Algae_yield_cost_factor/Y116</f>
        <v>0.0659642406686194</v>
      </c>
      <c r="BR116" s="197" t="n">
        <f aca="false">Algae_yield_cost_factor/Z116</f>
        <v>0.0653579281481721</v>
      </c>
      <c r="BS116" s="197" t="n">
        <f aca="false">Algae_yield_cost_factor/AA116</f>
        <v>0.0649844467644046</v>
      </c>
      <c r="BT116" s="197" t="n">
        <f aca="false">Algae_yield_cost_factor/AB116</f>
        <v>0.0647557687707593</v>
      </c>
      <c r="BU116" s="197" t="n">
        <f aca="false">Algae_yield_cost_factor/AC116</f>
        <v>0.0646162683381526</v>
      </c>
    </row>
    <row r="117" customFormat="false" ht="15" hidden="false" customHeight="false" outlineLevel="0" collapsed="false">
      <c r="A117" s="18" t="s">
        <v>708</v>
      </c>
      <c r="B117" s="18" t="s">
        <v>22</v>
      </c>
      <c r="C117" s="18" t="s">
        <v>686</v>
      </c>
      <c r="D117" s="18" t="s">
        <v>686</v>
      </c>
      <c r="E117" s="28" t="n">
        <v>6.133095</v>
      </c>
      <c r="F117" s="185" t="n">
        <f aca="false">E117/$B$2*$F$3/1000</f>
        <v>0.01502608275</v>
      </c>
      <c r="G117" s="18" t="n">
        <f aca="false">LOOKUP(RIGHT(D117,5),Ref!$C$4:$C$21,Ref!$E$4:$E$21)*$G$3</f>
        <v>4.5</v>
      </c>
      <c r="H117" s="218" t="n">
        <f aca="false">$E117</f>
        <v>6.133095</v>
      </c>
      <c r="I117" s="177" t="n">
        <f aca="false">$E117</f>
        <v>6.133095</v>
      </c>
      <c r="J117" s="177" t="n">
        <f aca="false">$E117</f>
        <v>6.133095</v>
      </c>
      <c r="K117" s="177" t="n">
        <f aca="false">$E117</f>
        <v>6.133095</v>
      </c>
      <c r="L117" s="177" t="n">
        <f aca="false">$E117</f>
        <v>6.133095</v>
      </c>
      <c r="M117" s="177" t="n">
        <f aca="false">M$3*$E117</f>
        <v>6.42396238565597</v>
      </c>
      <c r="N117" s="177" t="n">
        <f aca="false">N$3*$E117</f>
        <v>6.59834042459739</v>
      </c>
      <c r="O117" s="177" t="n">
        <f aca="false">O$3*$E117</f>
        <v>6.86417784503924</v>
      </c>
      <c r="P117" s="177" t="n">
        <f aca="false">P$3*$E117</f>
        <v>7.25192806792915</v>
      </c>
      <c r="Q117" s="177" t="n">
        <f aca="false">Q$3*$E117</f>
        <v>7.78253828669721</v>
      </c>
      <c r="R117" s="177" t="n">
        <f aca="false">R$3*$E117</f>
        <v>8.44858778810256</v>
      </c>
      <c r="S117" s="177" t="n">
        <f aca="false">S$3*$E117</f>
        <v>9.1996425</v>
      </c>
      <c r="T117" s="177" t="n">
        <f aca="false">T$3*$E117</f>
        <v>9.95069721189744</v>
      </c>
      <c r="U117" s="177" t="n">
        <f aca="false">U$3*$E117</f>
        <v>10.6167467133028</v>
      </c>
      <c r="V117" s="177" t="n">
        <f aca="false">V$3*$E117</f>
        <v>11.1473569320709</v>
      </c>
      <c r="W117" s="177" t="n">
        <f aca="false">W$3*$E117</f>
        <v>11.5351071549608</v>
      </c>
      <c r="X117" s="177" t="n">
        <f aca="false">X$3*$E117</f>
        <v>11.8009445754026</v>
      </c>
      <c r="Y117" s="177" t="n">
        <f aca="false">Y$3*$E117</f>
        <v>11.975322614344</v>
      </c>
      <c r="Z117" s="177" t="n">
        <f aca="false">Z$3*$E117</f>
        <v>12.08641530414</v>
      </c>
      <c r="AA117" s="177" t="n">
        <f aca="false">AA$3*$E117</f>
        <v>12.1558788656125</v>
      </c>
      <c r="AB117" s="177" t="n">
        <f aca="false">AB$3*$E117</f>
        <v>12.198806037087</v>
      </c>
      <c r="AC117" s="177" t="n">
        <f aca="false">AC$3*$E117</f>
        <v>12.2251421094605</v>
      </c>
      <c r="AD117" s="219" t="n">
        <f aca="false">Algae_electricity_factor/H117</f>
        <v>0.00224089095367498</v>
      </c>
      <c r="AE117" s="220" t="n">
        <f aca="false">Algae_electricity_factor/I117</f>
        <v>0.00224089095367498</v>
      </c>
      <c r="AF117" s="220" t="n">
        <f aca="false">Algae_electricity_factor/J117</f>
        <v>0.00224089095367498</v>
      </c>
      <c r="AG117" s="220" t="n">
        <f aca="false">Algae_electricity_factor/K117</f>
        <v>0.00224089095367498</v>
      </c>
      <c r="AH117" s="220" t="n">
        <f aca="false">Algae_electricity_factor/L117</f>
        <v>0.00224089095367498</v>
      </c>
      <c r="AI117" s="220" t="n">
        <f aca="false">Algae_electricity_factor/M117</f>
        <v>0.00213942677096262</v>
      </c>
      <c r="AJ117" s="220" t="n">
        <f aca="false">Algae_electricity_factor/N117</f>
        <v>0.00208288694113078</v>
      </c>
      <c r="AK117" s="220" t="n">
        <f aca="false">Algae_electricity_factor/O117</f>
        <v>0.00200222042811169</v>
      </c>
      <c r="AL117" s="220" t="n">
        <f aca="false">Algae_electricity_factor/P117</f>
        <v>0.00189516456517389</v>
      </c>
      <c r="AM117" s="220" t="n">
        <f aca="false">Algae_electricity_factor/Q117</f>
        <v>0.00176595303450307</v>
      </c>
      <c r="AN117" s="220" t="n">
        <f aca="false">Algae_electricity_factor/R117</f>
        <v>0.00162673306453455</v>
      </c>
      <c r="AO117" s="220" t="n">
        <f aca="false">Algae_electricity_factor/S117</f>
        <v>0.00149392730244999</v>
      </c>
      <c r="AP117" s="220" t="n">
        <f aca="false">Algae_electricity_factor/T117</f>
        <v>0.00138116925988833</v>
      </c>
      <c r="AQ117" s="220" t="n">
        <f aca="false">Algae_electricity_factor/U117</f>
        <v>0.00129452057910626</v>
      </c>
      <c r="AR117" s="220" t="n">
        <f aca="false">Algae_electricity_factor/V117</f>
        <v>0.00123290186070826</v>
      </c>
      <c r="AS117" s="220" t="n">
        <f aca="false">Algae_electricity_factor/W117</f>
        <v>0.00119145812161951</v>
      </c>
      <c r="AT117" s="220" t="n">
        <f aca="false">Algae_electricity_factor/X117</f>
        <v>0.00116461839268153</v>
      </c>
      <c r="AU117" s="220" t="n">
        <f aca="false">Algae_electricity_factor/Y117</f>
        <v>0.00114765986237959</v>
      </c>
      <c r="AV117" s="220" t="n">
        <f aca="false">Algae_electricity_factor/Z117</f>
        <v>0.00113711110843772</v>
      </c>
      <c r="AW117" s="220" t="n">
        <f aca="false">Algae_electricity_factor/AA117</f>
        <v>0.00113061320003839</v>
      </c>
      <c r="AX117" s="220" t="n">
        <f aca="false">Algae_electricity_factor/AB117</f>
        <v>0.00112663461176001</v>
      </c>
      <c r="AY117" s="220" t="n">
        <f aca="false">Algae_electricity_factor/AC117</f>
        <v>0.00112420755361966</v>
      </c>
      <c r="AZ117" s="221" t="n">
        <f aca="false">Algae_yield_cost_factor/H117</f>
        <v>0.124055247682649</v>
      </c>
      <c r="BA117" s="197" t="n">
        <f aca="false">Algae_yield_cost_factor/I117</f>
        <v>0.124055247682649</v>
      </c>
      <c r="BB117" s="197" t="n">
        <f aca="false">Algae_yield_cost_factor/J117</f>
        <v>0.124055247682649</v>
      </c>
      <c r="BC117" s="197" t="n">
        <f aca="false">Algae_yield_cost_factor/K117</f>
        <v>0.124055247682649</v>
      </c>
      <c r="BD117" s="197" t="n">
        <f aca="false">Algae_yield_cost_factor/L117</f>
        <v>0.124055247682649</v>
      </c>
      <c r="BE117" s="197" t="n">
        <f aca="false">Algae_yield_cost_factor/M117</f>
        <v>0.118438212058199</v>
      </c>
      <c r="BF117" s="197" t="n">
        <f aca="false">Algae_yield_cost_factor/N117</f>
        <v>0.115308179076353</v>
      </c>
      <c r="BG117" s="197" t="n">
        <f aca="false">Algae_yield_cost_factor/O117</f>
        <v>0.110842498032897</v>
      </c>
      <c r="BH117" s="197" t="n">
        <f aca="false">Algae_yield_cost_factor/P117</f>
        <v>0.104915908177711</v>
      </c>
      <c r="BI117" s="197" t="n">
        <f aca="false">Algae_yield_cost_factor/Q117</f>
        <v>0.0977627852582152</v>
      </c>
      <c r="BJ117" s="197" t="n">
        <f aca="false">Algae_yield_cost_factor/R117</f>
        <v>0.0900555972629708</v>
      </c>
      <c r="BK117" s="197" t="n">
        <f aca="false">Algae_yield_cost_factor/S117</f>
        <v>0.0827034984550995</v>
      </c>
      <c r="BL117" s="197" t="n">
        <f aca="false">Algae_yield_cost_factor/T117</f>
        <v>0.0764612371459283</v>
      </c>
      <c r="BM117" s="197" t="n">
        <f aca="false">Algae_yield_cost_factor/U117</f>
        <v>0.0716643845645184</v>
      </c>
      <c r="BN117" s="197" t="n">
        <f aca="false">Algae_yield_cost_factor/V117</f>
        <v>0.0682531853893796</v>
      </c>
      <c r="BO117" s="197" t="n">
        <f aca="false">Algae_yield_cost_factor/W117</f>
        <v>0.0659588687877088</v>
      </c>
      <c r="BP117" s="197" t="n">
        <f aca="false">Algae_yield_cost_factor/X117</f>
        <v>0.0644730270890422</v>
      </c>
      <c r="BQ117" s="197" t="n">
        <f aca="false">Algae_yield_cost_factor/Y117</f>
        <v>0.0635342064500944</v>
      </c>
      <c r="BR117" s="197" t="n">
        <f aca="false">Algae_yield_cost_factor/Z117</f>
        <v>0.062950229670298</v>
      </c>
      <c r="BS117" s="197" t="n">
        <f aca="false">Algae_yield_cost_factor/AA117</f>
        <v>0.062590506840155</v>
      </c>
      <c r="BT117" s="197" t="n">
        <f aca="false">Algae_yield_cost_factor/AB117</f>
        <v>0.0623702530373129</v>
      </c>
      <c r="BU117" s="197" t="n">
        <f aca="false">Algae_yield_cost_factor/AC117</f>
        <v>0.0622358916136798</v>
      </c>
    </row>
    <row r="118" customFormat="false" ht="15" hidden="false" customHeight="false" outlineLevel="0" collapsed="false">
      <c r="A118" s="18" t="s">
        <v>708</v>
      </c>
      <c r="B118" s="18" t="s">
        <v>22</v>
      </c>
      <c r="C118" s="18" t="s">
        <v>687</v>
      </c>
      <c r="D118" s="18" t="s">
        <v>687</v>
      </c>
      <c r="E118" s="28" t="n">
        <v>6.2615385</v>
      </c>
      <c r="F118" s="185" t="n">
        <f aca="false">E118/$B$2*$F$3/1000</f>
        <v>0.015340769325</v>
      </c>
      <c r="G118" s="18" t="n">
        <f aca="false">LOOKUP(RIGHT(D118,5),Ref!$C$4:$C$21,Ref!$E$4:$E$21)*$G$3</f>
        <v>4.5</v>
      </c>
      <c r="H118" s="218" t="n">
        <f aca="false">$E118</f>
        <v>6.2615385</v>
      </c>
      <c r="I118" s="177" t="n">
        <f aca="false">$E118</f>
        <v>6.2615385</v>
      </c>
      <c r="J118" s="177" t="n">
        <f aca="false">$E118</f>
        <v>6.2615385</v>
      </c>
      <c r="K118" s="177" t="n">
        <f aca="false">$E118</f>
        <v>6.2615385</v>
      </c>
      <c r="L118" s="177" t="n">
        <f aca="false">$E118</f>
        <v>6.2615385</v>
      </c>
      <c r="M118" s="177" t="n">
        <f aca="false">M$3*$E118</f>
        <v>6.55849743079745</v>
      </c>
      <c r="N118" s="177" t="n">
        <f aca="false">N$3*$E118</f>
        <v>6.73652741474295</v>
      </c>
      <c r="O118" s="177" t="n">
        <f aca="false">O$3*$E118</f>
        <v>7.00793218555399</v>
      </c>
      <c r="P118" s="177" t="n">
        <f aca="false">P$3*$E118</f>
        <v>7.40380294069617</v>
      </c>
      <c r="Q118" s="177" t="n">
        <f aca="false">Q$3*$E118</f>
        <v>7.94552556415295</v>
      </c>
      <c r="R118" s="177" t="n">
        <f aca="false">R$3*$E118</f>
        <v>8.62552393299534</v>
      </c>
      <c r="S118" s="177" t="n">
        <f aca="false">S$3*$E118</f>
        <v>9.39230775</v>
      </c>
      <c r="T118" s="177" t="n">
        <f aca="false">T$3*$E118</f>
        <v>10.1590915670047</v>
      </c>
      <c r="U118" s="177" t="n">
        <f aca="false">U$3*$E118</f>
        <v>10.8390899358471</v>
      </c>
      <c r="V118" s="177" t="n">
        <f aca="false">V$3*$E118</f>
        <v>11.3808125593038</v>
      </c>
      <c r="W118" s="177" t="n">
        <f aca="false">W$3*$E118</f>
        <v>11.776683314446</v>
      </c>
      <c r="X118" s="177" t="n">
        <f aca="false">X$3*$E118</f>
        <v>12.0480880852571</v>
      </c>
      <c r="Y118" s="177" t="n">
        <f aca="false">Y$3*$E118</f>
        <v>12.2261180692026</v>
      </c>
      <c r="Z118" s="177" t="n">
        <f aca="false">Z$3*$E118</f>
        <v>12.3395373386295</v>
      </c>
      <c r="AA118" s="177" t="n">
        <f aca="false">AA$3*$E118</f>
        <v>12.4104556538533</v>
      </c>
      <c r="AB118" s="177" t="n">
        <f aca="false">AB$3*$E118</f>
        <v>12.4542818357213</v>
      </c>
      <c r="AC118" s="177" t="n">
        <f aca="false">AC$3*$E118</f>
        <v>12.4811694562628</v>
      </c>
      <c r="AD118" s="219" t="n">
        <f aca="false">Algae_electricity_factor/H118</f>
        <v>0.00219492335686018</v>
      </c>
      <c r="AE118" s="220" t="n">
        <f aca="false">Algae_electricity_factor/I118</f>
        <v>0.00219492335686018</v>
      </c>
      <c r="AF118" s="220" t="n">
        <f aca="false">Algae_electricity_factor/J118</f>
        <v>0.00219492335686018</v>
      </c>
      <c r="AG118" s="220" t="n">
        <f aca="false">Algae_electricity_factor/K118</f>
        <v>0.00219492335686018</v>
      </c>
      <c r="AH118" s="220" t="n">
        <f aca="false">Algae_electricity_factor/L118</f>
        <v>0.00219492335686018</v>
      </c>
      <c r="AI118" s="220" t="n">
        <f aca="false">Algae_electricity_factor/M118</f>
        <v>0.00209554051801438</v>
      </c>
      <c r="AJ118" s="220" t="n">
        <f aca="false">Algae_electricity_factor/N118</f>
        <v>0.00204016049477529</v>
      </c>
      <c r="AK118" s="220" t="n">
        <f aca="false">Algae_electricity_factor/O118</f>
        <v>0.00196114870116181</v>
      </c>
      <c r="AL118" s="220" t="n">
        <f aca="false">Algae_electricity_factor/P118</f>
        <v>0.0018562888847278</v>
      </c>
      <c r="AM118" s="220" t="n">
        <f aca="false">Algae_electricity_factor/Q118</f>
        <v>0.00172972788175711</v>
      </c>
      <c r="AN118" s="220" t="n">
        <f aca="false">Algae_electricity_factor/R118</f>
        <v>0.00159336374350034</v>
      </c>
      <c r="AO118" s="220" t="n">
        <f aca="false">Algae_electricity_factor/S118</f>
        <v>0.00146328223790679</v>
      </c>
      <c r="AP118" s="220" t="n">
        <f aca="false">Algae_electricity_factor/T118</f>
        <v>0.0013528372111702</v>
      </c>
      <c r="AQ118" s="220" t="n">
        <f aca="false">Algae_electricity_factor/U118</f>
        <v>0.0012679659625368</v>
      </c>
      <c r="AR118" s="220" t="n">
        <f aca="false">Algae_electricity_factor/V118</f>
        <v>0.00120761123442753</v>
      </c>
      <c r="AS118" s="220" t="n">
        <f aca="false">Algae_electricity_factor/W118</f>
        <v>0.00116701763447018</v>
      </c>
      <c r="AT118" s="220" t="n">
        <f aca="false">Algae_electricity_factor/X118</f>
        <v>0.00114072847129554</v>
      </c>
      <c r="AU118" s="220" t="n">
        <f aca="false">Algae_electricity_factor/Y118</f>
        <v>0.00112411781284439</v>
      </c>
      <c r="AV118" s="220" t="n">
        <f aca="false">Algae_electricity_factor/Z118</f>
        <v>0.00111378544643682</v>
      </c>
      <c r="AW118" s="220" t="n">
        <f aca="false">Algae_electricity_factor/AA118</f>
        <v>0.00110742083021441</v>
      </c>
      <c r="AX118" s="220" t="n">
        <f aca="false">Algae_electricity_factor/AB118</f>
        <v>0.00110352385507368</v>
      </c>
      <c r="AY118" s="220" t="n">
        <f aca="false">Algae_electricity_factor/AC118</f>
        <v>0.00110114658339431</v>
      </c>
      <c r="AZ118" s="221" t="n">
        <f aca="false">Algae_yield_cost_factor/H118</f>
        <v>0.121510491277218</v>
      </c>
      <c r="BA118" s="197" t="n">
        <f aca="false">Algae_yield_cost_factor/I118</f>
        <v>0.121510491277218</v>
      </c>
      <c r="BB118" s="197" t="n">
        <f aca="false">Algae_yield_cost_factor/J118</f>
        <v>0.121510491277218</v>
      </c>
      <c r="BC118" s="197" t="n">
        <f aca="false">Algae_yield_cost_factor/K118</f>
        <v>0.121510491277218</v>
      </c>
      <c r="BD118" s="197" t="n">
        <f aca="false">Algae_yield_cost_factor/L118</f>
        <v>0.121510491277218</v>
      </c>
      <c r="BE118" s="197" t="n">
        <f aca="false">Algae_yield_cost_factor/M118</f>
        <v>0.116008678407564</v>
      </c>
      <c r="BF118" s="197" t="n">
        <f aca="false">Algae_yield_cost_factor/N118</f>
        <v>0.112942852072584</v>
      </c>
      <c r="BG118" s="197" t="n">
        <f aca="false">Algae_yield_cost_factor/O118</f>
        <v>0.108568775944294</v>
      </c>
      <c r="BH118" s="197" t="n">
        <f aca="false">Algae_yield_cost_factor/P118</f>
        <v>0.10276375875756</v>
      </c>
      <c r="BI118" s="197" t="n">
        <f aca="false">Algae_yield_cost_factor/Q118</f>
        <v>0.0957573684891075</v>
      </c>
      <c r="BJ118" s="197" t="n">
        <f aca="false">Algae_yield_cost_factor/R118</f>
        <v>0.0882082787314236</v>
      </c>
      <c r="BK118" s="197" t="n">
        <f aca="false">Algae_yield_cost_factor/S118</f>
        <v>0.0810069941848123</v>
      </c>
      <c r="BL118" s="197" t="n">
        <f aca="false">Algae_yield_cost_factor/T118</f>
        <v>0.0748927809408993</v>
      </c>
      <c r="BM118" s="197" t="n">
        <f aca="false">Algae_yield_cost_factor/U118</f>
        <v>0.070194326626072</v>
      </c>
      <c r="BN118" s="197" t="n">
        <f aca="false">Algae_yield_cost_factor/V118</f>
        <v>0.0668531016851014</v>
      </c>
      <c r="BO118" s="197" t="n">
        <f aca="false">Algae_yield_cost_factor/W118</f>
        <v>0.0646058486053472</v>
      </c>
      <c r="BP118" s="197" t="n">
        <f aca="false">Algae_yield_cost_factor/X118</f>
        <v>0.0631504861105093</v>
      </c>
      <c r="BQ118" s="197" t="n">
        <f aca="false">Algae_yield_cost_factor/Y118</f>
        <v>0.0622309235834039</v>
      </c>
      <c r="BR118" s="197" t="n">
        <f aca="false">Algae_yield_cost_factor/Z118</f>
        <v>0.0616589259715892</v>
      </c>
      <c r="BS118" s="197" t="n">
        <f aca="false">Algae_yield_cost_factor/AA118</f>
        <v>0.0613065821680759</v>
      </c>
      <c r="BT118" s="197" t="n">
        <f aca="false">Algae_yield_cost_factor/AB118</f>
        <v>0.0610908464512162</v>
      </c>
      <c r="BU118" s="197" t="n">
        <f aca="false">Algae_yield_cost_factor/AC118</f>
        <v>0.0609592411954987</v>
      </c>
    </row>
    <row r="119" customFormat="false" ht="15" hidden="false" customHeight="false" outlineLevel="0" collapsed="false">
      <c r="A119" s="18" t="s">
        <v>708</v>
      </c>
      <c r="B119" s="18" t="s">
        <v>22</v>
      </c>
      <c r="C119" s="18" t="s">
        <v>688</v>
      </c>
      <c r="D119" s="18" t="s">
        <v>688</v>
      </c>
      <c r="E119" s="28" t="n">
        <v>6.485758</v>
      </c>
      <c r="F119" s="185" t="n">
        <f aca="false">E119/$B$2*$F$3/1000</f>
        <v>0.0158901071</v>
      </c>
      <c r="G119" s="18" t="n">
        <f aca="false">LOOKUP(RIGHT(D119,5),Ref!$C$4:$C$21,Ref!$E$4:$E$21)*$G$3</f>
        <v>4.5</v>
      </c>
      <c r="H119" s="218" t="n">
        <f aca="false">$E119</f>
        <v>6.485758</v>
      </c>
      <c r="I119" s="177" t="n">
        <f aca="false">$E119</f>
        <v>6.485758</v>
      </c>
      <c r="J119" s="177" t="n">
        <f aca="false">$E119</f>
        <v>6.485758</v>
      </c>
      <c r="K119" s="177" t="n">
        <f aca="false">$E119</f>
        <v>6.485758</v>
      </c>
      <c r="L119" s="177" t="n">
        <f aca="false">$E119</f>
        <v>6.485758</v>
      </c>
      <c r="M119" s="177" t="n">
        <f aca="false">M$3*$E119</f>
        <v>6.79335073636839</v>
      </c>
      <c r="N119" s="177" t="n">
        <f aca="false">N$3*$E119</f>
        <v>6.97775579793822</v>
      </c>
      <c r="O119" s="177" t="n">
        <f aca="false">O$3*$E119</f>
        <v>7.25887930512833</v>
      </c>
      <c r="P119" s="177" t="n">
        <f aca="false">P$3*$E119</f>
        <v>7.66892580043127</v>
      </c>
      <c r="Q119" s="177" t="n">
        <f aca="false">Q$3*$E119</f>
        <v>8.23004697518182</v>
      </c>
      <c r="R119" s="177" t="n">
        <f aca="false">R$3*$E119</f>
        <v>8.93439541298292</v>
      </c>
      <c r="S119" s="177" t="n">
        <f aca="false">S$3*$E119</f>
        <v>9.728637</v>
      </c>
      <c r="T119" s="177" t="n">
        <f aca="false">T$3*$E119</f>
        <v>10.5228785870171</v>
      </c>
      <c r="U119" s="177" t="n">
        <f aca="false">U$3*$E119</f>
        <v>11.2272270248182</v>
      </c>
      <c r="V119" s="177" t="n">
        <f aca="false">V$3*$E119</f>
        <v>11.7883481995687</v>
      </c>
      <c r="W119" s="177" t="n">
        <f aca="false">W$3*$E119</f>
        <v>12.1983946948717</v>
      </c>
      <c r="X119" s="177" t="n">
        <f aca="false">X$3*$E119</f>
        <v>12.4795182020618</v>
      </c>
      <c r="Y119" s="177" t="n">
        <f aca="false">Y$3*$E119</f>
        <v>12.6639232636316</v>
      </c>
      <c r="Z119" s="177" t="n">
        <f aca="false">Z$3*$E119</f>
        <v>12.7814039649065</v>
      </c>
      <c r="AA119" s="177" t="n">
        <f aca="false">AA$3*$E119</f>
        <v>12.8548617948487</v>
      </c>
      <c r="AB119" s="177" t="n">
        <f aca="false">AB$3*$E119</f>
        <v>12.9002573489381</v>
      </c>
      <c r="AC119" s="177" t="n">
        <f aca="false">AC$3*$E119</f>
        <v>12.928107788575</v>
      </c>
      <c r="AD119" s="219" t="n">
        <f aca="false">Algae_electricity_factor/H119</f>
        <v>0.00211904253959665</v>
      </c>
      <c r="AE119" s="220" t="n">
        <f aca="false">Algae_electricity_factor/I119</f>
        <v>0.00211904253959665</v>
      </c>
      <c r="AF119" s="220" t="n">
        <f aca="false">Algae_electricity_factor/J119</f>
        <v>0.00211904253959665</v>
      </c>
      <c r="AG119" s="220" t="n">
        <f aca="false">Algae_electricity_factor/K119</f>
        <v>0.00211904253959665</v>
      </c>
      <c r="AH119" s="220" t="n">
        <f aca="false">Algae_electricity_factor/L119</f>
        <v>0.00211904253959665</v>
      </c>
      <c r="AI119" s="220" t="n">
        <f aca="false">Algae_electricity_factor/M119</f>
        <v>0.00202309547039174</v>
      </c>
      <c r="AJ119" s="220" t="n">
        <f aca="false">Algae_electricity_factor/N119</f>
        <v>0.00196962999301154</v>
      </c>
      <c r="AK119" s="220" t="n">
        <f aca="false">Algae_electricity_factor/O119</f>
        <v>0.00189334972050294</v>
      </c>
      <c r="AL119" s="220" t="n">
        <f aca="false">Algae_electricity_factor/P119</f>
        <v>0.00179211501860618</v>
      </c>
      <c r="AM119" s="220" t="n">
        <f aca="false">Algae_electricity_factor/Q119</f>
        <v>0.00166992936309767</v>
      </c>
      <c r="AN119" s="220" t="n">
        <f aca="false">Algae_electricity_factor/R119</f>
        <v>0.00153827947703746</v>
      </c>
      <c r="AO119" s="220" t="n">
        <f aca="false">Algae_electricity_factor/S119</f>
        <v>0.00141269502639776</v>
      </c>
      <c r="AP119" s="220" t="n">
        <f aca="false">Algae_electricity_factor/T119</f>
        <v>0.00130606820081397</v>
      </c>
      <c r="AQ119" s="220" t="n">
        <f aca="false">Algae_electricity_factor/U119</f>
        <v>0.00122413104083035</v>
      </c>
      <c r="AR119" s="220" t="n">
        <f aca="false">Algae_electricity_factor/V119</f>
        <v>0.0011658628393783</v>
      </c>
      <c r="AS119" s="220" t="n">
        <f aca="false">Algae_electricity_factor/W119</f>
        <v>0.00112667260301941</v>
      </c>
      <c r="AT119" s="220" t="n">
        <f aca="false">Algae_electricity_factor/X119</f>
        <v>0.00110129228396483</v>
      </c>
      <c r="AU119" s="220" t="n">
        <f aca="false">Algae_electricity_factor/Y119</f>
        <v>0.00108525587350946</v>
      </c>
      <c r="AV119" s="220" t="n">
        <f aca="false">Algae_electricity_factor/Z119</f>
        <v>0.00107528070791476</v>
      </c>
      <c r="AW119" s="220" t="n">
        <f aca="false">Algae_electricity_factor/AA119</f>
        <v>0.00106913612319323</v>
      </c>
      <c r="AX119" s="220" t="n">
        <f aca="false">Algae_electricity_factor/AB119</f>
        <v>0.00106537387059651</v>
      </c>
      <c r="AY119" s="220" t="n">
        <f aca="false">Algae_electricity_factor/AC119</f>
        <v>0.00106307878370839</v>
      </c>
      <c r="AZ119" s="221" t="n">
        <f aca="false">Algae_yield_cost_factor/H119</f>
        <v>0.117309745335274</v>
      </c>
      <c r="BA119" s="197" t="n">
        <f aca="false">Algae_yield_cost_factor/I119</f>
        <v>0.117309745335274</v>
      </c>
      <c r="BB119" s="197" t="n">
        <f aca="false">Algae_yield_cost_factor/J119</f>
        <v>0.117309745335274</v>
      </c>
      <c r="BC119" s="197" t="n">
        <f aca="false">Algae_yield_cost_factor/K119</f>
        <v>0.117309745335274</v>
      </c>
      <c r="BD119" s="197" t="n">
        <f aca="false">Algae_yield_cost_factor/L119</f>
        <v>0.117309745335274</v>
      </c>
      <c r="BE119" s="197" t="n">
        <f aca="false">Algae_yield_cost_factor/M119</f>
        <v>0.111998135943876</v>
      </c>
      <c r="BF119" s="197" t="n">
        <f aca="false">Algae_yield_cost_factor/N119</f>
        <v>0.109038298461381</v>
      </c>
      <c r="BG119" s="197" t="n">
        <f aca="false">Algae_yield_cost_factor/O119</f>
        <v>0.104815438761833</v>
      </c>
      <c r="BH119" s="197" t="n">
        <f aca="false">Algae_yield_cost_factor/P119</f>
        <v>0.0992111071466399</v>
      </c>
      <c r="BI119" s="197" t="n">
        <f aca="false">Algae_yield_cost_factor/Q119</f>
        <v>0.0924469351852526</v>
      </c>
      <c r="BJ119" s="197" t="n">
        <f aca="false">Algae_yield_cost_factor/R119</f>
        <v>0.0851588254288149</v>
      </c>
      <c r="BK119" s="197" t="n">
        <f aca="false">Algae_yield_cost_factor/S119</f>
        <v>0.0782064968901829</v>
      </c>
      <c r="BL119" s="197" t="n">
        <f aca="false">Algae_yield_cost_factor/T119</f>
        <v>0.0723036584518737</v>
      </c>
      <c r="BM119" s="197" t="n">
        <f aca="false">Algae_yield_cost_factor/U119</f>
        <v>0.0677676346620896</v>
      </c>
      <c r="BN119" s="197" t="n">
        <f aca="false">Algae_yield_cost_factor/V119</f>
        <v>0.0645419193941058</v>
      </c>
      <c r="BO119" s="197" t="n">
        <f aca="false">Algae_yield_cost_factor/W119</f>
        <v>0.0623723562253715</v>
      </c>
      <c r="BP119" s="197" t="n">
        <f aca="false">Algae_yield_cost_factor/X119</f>
        <v>0.0609673071481651</v>
      </c>
      <c r="BQ119" s="197" t="n">
        <f aca="false">Algae_yield_cost_factor/Y119</f>
        <v>0.0600795348682516</v>
      </c>
      <c r="BR119" s="197" t="n">
        <f aca="false">Algae_yield_cost_factor/Z119</f>
        <v>0.0595273118176404</v>
      </c>
      <c r="BS119" s="197" t="n">
        <f aca="false">Algae_yield_cost_factor/AA119</f>
        <v>0.0591871489113255</v>
      </c>
      <c r="BT119" s="197" t="n">
        <f aca="false">Algae_yield_cost_factor/AB119</f>
        <v>0.0589788714059141</v>
      </c>
      <c r="BU119" s="197" t="n">
        <f aca="false">Algae_yield_cost_factor/AC119</f>
        <v>0.0588518158828007</v>
      </c>
    </row>
    <row r="120" customFormat="false" ht="15" hidden="false" customHeight="false" outlineLevel="0" collapsed="false">
      <c r="A120" s="18" t="s">
        <v>709</v>
      </c>
      <c r="B120" s="18" t="s">
        <v>22</v>
      </c>
      <c r="C120" s="18" t="s">
        <v>693</v>
      </c>
      <c r="D120" s="18" t="s">
        <v>693</v>
      </c>
      <c r="E120" s="28" t="n">
        <v>4.71215</v>
      </c>
      <c r="F120" s="185" t="n">
        <f aca="false">E120/$B$2*$F$3/1000</f>
        <v>0.0115447675</v>
      </c>
      <c r="G120" s="18" t="n">
        <f aca="false">LOOKUP(RIGHT(D120,5),Ref!$C$4:$C$21,Ref!$E$4:$E$21)*$G$3</f>
        <v>3</v>
      </c>
      <c r="H120" s="218" t="n">
        <f aca="false">$E120</f>
        <v>4.71215</v>
      </c>
      <c r="I120" s="177" t="n">
        <f aca="false">$E120</f>
        <v>4.71215</v>
      </c>
      <c r="J120" s="177" t="n">
        <f aca="false">$E120</f>
        <v>4.71215</v>
      </c>
      <c r="K120" s="177" t="n">
        <f aca="false">$E120</f>
        <v>4.71215</v>
      </c>
      <c r="L120" s="177" t="n">
        <f aca="false">$E120</f>
        <v>4.71215</v>
      </c>
      <c r="M120" s="177" t="n">
        <f aca="false">M$3*$E120</f>
        <v>4.93562782829367</v>
      </c>
      <c r="N120" s="177" t="n">
        <f aca="false">N$3*$E120</f>
        <v>5.0696051229871</v>
      </c>
      <c r="O120" s="177" t="n">
        <f aca="false">O$3*$E120</f>
        <v>5.27385204900652</v>
      </c>
      <c r="P120" s="177" t="n">
        <f aca="false">P$3*$E120</f>
        <v>5.57176643200412</v>
      </c>
      <c r="Q120" s="177" t="n">
        <f aca="false">Q$3*$E120</f>
        <v>5.97944231870862</v>
      </c>
      <c r="R120" s="177" t="n">
        <f aca="false">R$3*$E120</f>
        <v>6.49117826247718</v>
      </c>
      <c r="S120" s="177" t="n">
        <f aca="false">S$3*$E120</f>
        <v>7.068225</v>
      </c>
      <c r="T120" s="177" t="n">
        <f aca="false">T$3*$E120</f>
        <v>7.64527173752282</v>
      </c>
      <c r="U120" s="177" t="n">
        <f aca="false">U$3*$E120</f>
        <v>8.15700768129138</v>
      </c>
      <c r="V120" s="177" t="n">
        <f aca="false">V$3*$E120</f>
        <v>8.56468356799588</v>
      </c>
      <c r="W120" s="177" t="n">
        <f aca="false">W$3*$E120</f>
        <v>8.86259795099348</v>
      </c>
      <c r="X120" s="177" t="n">
        <f aca="false">X$3*$E120</f>
        <v>9.0668448770129</v>
      </c>
      <c r="Y120" s="177" t="n">
        <f aca="false">Y$3*$E120</f>
        <v>9.20082217170633</v>
      </c>
      <c r="Z120" s="177" t="n">
        <f aca="false">Z$3*$E120</f>
        <v>9.286176371865</v>
      </c>
      <c r="AA120" s="177" t="n">
        <f aca="false">AA$3*$E120</f>
        <v>9.33954628072713</v>
      </c>
      <c r="AB120" s="177" t="n">
        <f aca="false">AB$3*$E120</f>
        <v>9.37252787828325</v>
      </c>
      <c r="AC120" s="177" t="n">
        <f aca="false">AC$3*$E120</f>
        <v>9.39276228251713</v>
      </c>
      <c r="AD120" s="219" t="n">
        <f aca="false">Algae_electricity_factor/H120</f>
        <v>0.00291662979818751</v>
      </c>
      <c r="AE120" s="220" t="n">
        <f aca="false">Algae_electricity_factor/I120</f>
        <v>0.00291662979818751</v>
      </c>
      <c r="AF120" s="220" t="n">
        <f aca="false">Algae_electricity_factor/J120</f>
        <v>0.00291662979818751</v>
      </c>
      <c r="AG120" s="220" t="n">
        <f aca="false">Algae_electricity_factor/K120</f>
        <v>0.00291662979818751</v>
      </c>
      <c r="AH120" s="220" t="n">
        <f aca="false">Algae_electricity_factor/L120</f>
        <v>0.00291662979818751</v>
      </c>
      <c r="AI120" s="220" t="n">
        <f aca="false">Algae_electricity_factor/M120</f>
        <v>0.00278456917370138</v>
      </c>
      <c r="AJ120" s="220" t="n">
        <f aca="false">Algae_electricity_factor/N120</f>
        <v>0.00271097980416891</v>
      </c>
      <c r="AK120" s="220" t="n">
        <f aca="false">Algae_electricity_factor/O120</f>
        <v>0.00260598836975684</v>
      </c>
      <c r="AL120" s="220" t="n">
        <f aca="false">Algae_electricity_factor/P120</f>
        <v>0.00246664989842114</v>
      </c>
      <c r="AM120" s="220" t="n">
        <f aca="false">Algae_electricity_factor/Q120</f>
        <v>0.00229847473576724</v>
      </c>
      <c r="AN120" s="220" t="n">
        <f aca="false">Algae_electricity_factor/R120</f>
        <v>0.00211727309708552</v>
      </c>
      <c r="AO120" s="220" t="n">
        <f aca="false">Algae_electricity_factor/S120</f>
        <v>0.00194441986545834</v>
      </c>
      <c r="AP120" s="220" t="n">
        <f aca="false">Algae_electricity_factor/T120</f>
        <v>0.00179765972687092</v>
      </c>
      <c r="AQ120" s="220" t="n">
        <f aca="false">Algae_electricity_factor/U120</f>
        <v>0.00168488220687239</v>
      </c>
      <c r="AR120" s="220" t="n">
        <f aca="false">Algae_electricity_factor/V120</f>
        <v>0.00160468241405739</v>
      </c>
      <c r="AS120" s="220" t="n">
        <f aca="false">Algae_electricity_factor/W120</f>
        <v>0.00155074134915357</v>
      </c>
      <c r="AT120" s="220" t="n">
        <f aca="false">Algae_electricity_factor/X120</f>
        <v>0.00151580812178372</v>
      </c>
      <c r="AU120" s="220" t="n">
        <f aca="false">Algae_electricity_factor/Y120</f>
        <v>0.00149373576046199</v>
      </c>
      <c r="AV120" s="220" t="n">
        <f aca="false">Algae_electricity_factor/Z120</f>
        <v>0.00148000603834849</v>
      </c>
      <c r="AW120" s="220" t="n">
        <f aca="false">Algae_electricity_factor/AA120</f>
        <v>0.00147154869095624</v>
      </c>
      <c r="AX120" s="220" t="n">
        <f aca="false">Algae_electricity_factor/AB120</f>
        <v>0.0014663703626184</v>
      </c>
      <c r="AY120" s="220" t="n">
        <f aca="false">Algae_electricity_factor/AC120</f>
        <v>0.0014632114270698</v>
      </c>
      <c r="AZ120" s="221" t="n">
        <f aca="false">Algae_yield_cost_factor/H120</f>
        <v>0.161464006724365</v>
      </c>
      <c r="BA120" s="197" t="n">
        <f aca="false">Algae_yield_cost_factor/I120</f>
        <v>0.161464006724365</v>
      </c>
      <c r="BB120" s="197" t="n">
        <f aca="false">Algae_yield_cost_factor/J120</f>
        <v>0.161464006724365</v>
      </c>
      <c r="BC120" s="197" t="n">
        <f aca="false">Algae_yield_cost_factor/K120</f>
        <v>0.161464006724365</v>
      </c>
      <c r="BD120" s="197" t="n">
        <f aca="false">Algae_yield_cost_factor/L120</f>
        <v>0.161464006724365</v>
      </c>
      <c r="BE120" s="197" t="n">
        <f aca="false">Algae_yield_cost_factor/M120</f>
        <v>0.154153158575827</v>
      </c>
      <c r="BF120" s="197" t="n">
        <f aca="false">Algae_yield_cost_factor/N120</f>
        <v>0.150079266694033</v>
      </c>
      <c r="BG120" s="197" t="n">
        <f aca="false">Algae_yield_cost_factor/O120</f>
        <v>0.144266963163964</v>
      </c>
      <c r="BH120" s="197" t="n">
        <f aca="false">Algae_yield_cost_factor/P120</f>
        <v>0.136553214958178</v>
      </c>
      <c r="BI120" s="197" t="n">
        <f aca="false">Algae_yield_cost_factor/Q120</f>
        <v>0.127243073640108</v>
      </c>
      <c r="BJ120" s="197" t="n">
        <f aca="false">Algae_yield_cost_factor/R120</f>
        <v>0.117211789373331</v>
      </c>
      <c r="BK120" s="197" t="n">
        <f aca="false">Algae_yield_cost_factor/S120</f>
        <v>0.107642671149577</v>
      </c>
      <c r="BL120" s="197" t="n">
        <f aca="false">Algae_yield_cost_factor/T120</f>
        <v>0.0995180610195998</v>
      </c>
      <c r="BM120" s="197" t="n">
        <f aca="false">Algae_yield_cost_factor/U120</f>
        <v>0.0932747214436563</v>
      </c>
      <c r="BN120" s="197" t="n">
        <f aca="false">Algae_yield_cost_factor/V120</f>
        <v>0.0888348779316611</v>
      </c>
      <c r="BO120" s="197" t="n">
        <f aca="false">Algae_yield_cost_factor/W120</f>
        <v>0.085848712024777</v>
      </c>
      <c r="BP120" s="197" t="n">
        <f aca="false">Algae_yield_cost_factor/X120</f>
        <v>0.0839148159703467</v>
      </c>
      <c r="BQ120" s="197" t="n">
        <f aca="false">Algae_yield_cost_factor/Y120</f>
        <v>0.0826928947312886</v>
      </c>
      <c r="BR120" s="197" t="n">
        <f aca="false">Algae_yield_cost_factor/Z120</f>
        <v>0.0819328202285063</v>
      </c>
      <c r="BS120" s="197" t="n">
        <f aca="false">Algae_yield_cost_factor/AA120</f>
        <v>0.0814646232715046</v>
      </c>
      <c r="BT120" s="197" t="n">
        <f aca="false">Algae_yield_cost_factor/AB120</f>
        <v>0.0811779521135529</v>
      </c>
      <c r="BU120" s="197" t="n">
        <f aca="false">Algae_yield_cost_factor/AC120</f>
        <v>0.0810030741119025</v>
      </c>
    </row>
    <row r="121" customFormat="false" ht="15" hidden="false" customHeight="false" outlineLevel="0" collapsed="false">
      <c r="A121" s="18" t="s">
        <v>709</v>
      </c>
      <c r="B121" s="18" t="s">
        <v>22</v>
      </c>
      <c r="C121" s="18" t="s">
        <v>694</v>
      </c>
      <c r="D121" s="18" t="s">
        <v>694</v>
      </c>
      <c r="E121" s="28" t="n">
        <v>4.805225</v>
      </c>
      <c r="F121" s="185" t="n">
        <f aca="false">E121/$B$2*$F$3/1000</f>
        <v>0.01177280125</v>
      </c>
      <c r="G121" s="18" t="n">
        <f aca="false">LOOKUP(RIGHT(D121,5),Ref!$C$4:$C$21,Ref!$E$4:$E$21)*$G$3</f>
        <v>3</v>
      </c>
      <c r="H121" s="218" t="n">
        <f aca="false">$E121</f>
        <v>4.805225</v>
      </c>
      <c r="I121" s="177" t="n">
        <f aca="false">$E121</f>
        <v>4.805225</v>
      </c>
      <c r="J121" s="177" t="n">
        <f aca="false">$E121</f>
        <v>4.805225</v>
      </c>
      <c r="K121" s="177" t="n">
        <f aca="false">$E121</f>
        <v>4.805225</v>
      </c>
      <c r="L121" s="177" t="n">
        <f aca="false">$E121</f>
        <v>4.805225</v>
      </c>
      <c r="M121" s="177" t="n">
        <f aca="false">M$3*$E121</f>
        <v>5.03311699143967</v>
      </c>
      <c r="N121" s="177" t="n">
        <f aca="false">N$3*$E121</f>
        <v>5.16974062309258</v>
      </c>
      <c r="O121" s="177" t="n">
        <f aca="false">O$3*$E121</f>
        <v>5.37802186097373</v>
      </c>
      <c r="P121" s="177" t="n">
        <f aca="false">P$3*$E121</f>
        <v>5.6818206876324</v>
      </c>
      <c r="Q121" s="177" t="n">
        <f aca="false">Q$3*$E121</f>
        <v>6.09754904150264</v>
      </c>
      <c r="R121" s="177" t="n">
        <f aca="false">R$3*$E121</f>
        <v>6.61939286022557</v>
      </c>
      <c r="S121" s="177" t="n">
        <f aca="false">S$3*$E121</f>
        <v>7.2078375</v>
      </c>
      <c r="T121" s="177" t="n">
        <f aca="false">T$3*$E121</f>
        <v>7.79628213977443</v>
      </c>
      <c r="U121" s="177" t="n">
        <f aca="false">U$3*$E121</f>
        <v>8.31812595849737</v>
      </c>
      <c r="V121" s="177" t="n">
        <f aca="false">V$3*$E121</f>
        <v>8.7338543123676</v>
      </c>
      <c r="W121" s="177" t="n">
        <f aca="false">W$3*$E121</f>
        <v>9.03765313902627</v>
      </c>
      <c r="X121" s="177" t="n">
        <f aca="false">X$3*$E121</f>
        <v>9.24593437690742</v>
      </c>
      <c r="Y121" s="177" t="n">
        <f aca="false">Y$3*$E121</f>
        <v>9.38255800856033</v>
      </c>
      <c r="Z121" s="177" t="n">
        <f aca="false">Z$3*$E121</f>
        <v>9.46959813598781</v>
      </c>
      <c r="AA121" s="177" t="n">
        <f aca="false">AA$3*$E121</f>
        <v>9.52402221423491</v>
      </c>
      <c r="AB121" s="177" t="n">
        <f aca="false">AB$3*$E121</f>
        <v>9.55765526859791</v>
      </c>
      <c r="AC121" s="177" t="n">
        <f aca="false">AC$3*$E121</f>
        <v>9.57828934541735</v>
      </c>
      <c r="AD121" s="219" t="n">
        <f aca="false">Algae_electricity_factor/H121</f>
        <v>0.00286013601933921</v>
      </c>
      <c r="AE121" s="220" t="n">
        <f aca="false">Algae_electricity_factor/I121</f>
        <v>0.00286013601933921</v>
      </c>
      <c r="AF121" s="220" t="n">
        <f aca="false">Algae_electricity_factor/J121</f>
        <v>0.00286013601933921</v>
      </c>
      <c r="AG121" s="220" t="n">
        <f aca="false">Algae_electricity_factor/K121</f>
        <v>0.00286013601933921</v>
      </c>
      <c r="AH121" s="220" t="n">
        <f aca="false">Algae_electricity_factor/L121</f>
        <v>0.00286013601933921</v>
      </c>
      <c r="AI121" s="220" t="n">
        <f aca="false">Algae_electricity_factor/M121</f>
        <v>0.00273063334846068</v>
      </c>
      <c r="AJ121" s="220" t="n">
        <f aca="false">Algae_electricity_factor/N121</f>
        <v>0.00265846937119792</v>
      </c>
      <c r="AK121" s="220" t="n">
        <f aca="false">Algae_electricity_factor/O121</f>
        <v>0.0025555115726214</v>
      </c>
      <c r="AL121" s="220" t="n">
        <f aca="false">Algae_electricity_factor/P121</f>
        <v>0.00241887202344222</v>
      </c>
      <c r="AM121" s="220" t="n">
        <f aca="false">Algae_electricity_factor/Q121</f>
        <v>0.00225395433640373</v>
      </c>
      <c r="AN121" s="220" t="n">
        <f aca="false">Algae_electricity_factor/R121</f>
        <v>0.00207626249019172</v>
      </c>
      <c r="AO121" s="220" t="n">
        <f aca="false">Algae_electricity_factor/S121</f>
        <v>0.00190675734622614</v>
      </c>
      <c r="AP121" s="220" t="n">
        <f aca="false">Algae_electricity_factor/T121</f>
        <v>0.00176283988407927</v>
      </c>
      <c r="AQ121" s="220" t="n">
        <f aca="false">Algae_electricity_factor/U121</f>
        <v>0.00165224681281599</v>
      </c>
      <c r="AR121" s="220" t="n">
        <f aca="false">Algae_electricity_factor/V121</f>
        <v>0.00157360045313185</v>
      </c>
      <c r="AS121" s="220" t="n">
        <f aca="false">Algae_electricity_factor/W121</f>
        <v>0.00152070420186651</v>
      </c>
      <c r="AT121" s="220" t="n">
        <f aca="false">Algae_electricity_factor/X121</f>
        <v>0.00148644761505718</v>
      </c>
      <c r="AU121" s="220" t="n">
        <f aca="false">Algae_electricity_factor/Y121</f>
        <v>0.00146480278523086</v>
      </c>
      <c r="AV121" s="220" t="n">
        <f aca="false">Algae_electricity_factor/Z121</f>
        <v>0.00145133900152518</v>
      </c>
      <c r="AW121" s="220" t="n">
        <f aca="false">Algae_electricity_factor/AA121</f>
        <v>0.00144304546906533</v>
      </c>
      <c r="AX121" s="220" t="n">
        <f aca="false">Algae_electricity_factor/AB121</f>
        <v>0.00143796744256768</v>
      </c>
      <c r="AY121" s="220" t="n">
        <f aca="false">Algae_electricity_factor/AC121</f>
        <v>0.00143486969414896</v>
      </c>
      <c r="AZ121" s="221" t="n">
        <f aca="false">Algae_yield_cost_factor/H121</f>
        <v>0.158336523115196</v>
      </c>
      <c r="BA121" s="197" t="n">
        <f aca="false">Algae_yield_cost_factor/I121</f>
        <v>0.158336523115196</v>
      </c>
      <c r="BB121" s="197" t="n">
        <f aca="false">Algae_yield_cost_factor/J121</f>
        <v>0.158336523115196</v>
      </c>
      <c r="BC121" s="197" t="n">
        <f aca="false">Algae_yield_cost_factor/K121</f>
        <v>0.158336523115196</v>
      </c>
      <c r="BD121" s="197" t="n">
        <f aca="false">Algae_yield_cost_factor/L121</f>
        <v>0.158336523115196</v>
      </c>
      <c r="BE121" s="197" t="n">
        <f aca="false">Algae_yield_cost_factor/M121</f>
        <v>0.151167282735581</v>
      </c>
      <c r="BF121" s="197" t="n">
        <f aca="false">Algae_yield_cost_factor/N121</f>
        <v>0.147172300267373</v>
      </c>
      <c r="BG121" s="197" t="n">
        <f aca="false">Algae_yield_cost_factor/O121</f>
        <v>0.141472578385626</v>
      </c>
      <c r="BH121" s="197" t="n">
        <f aca="false">Algae_yield_cost_factor/P121</f>
        <v>0.133908241937719</v>
      </c>
      <c r="BI121" s="197" t="n">
        <f aca="false">Algae_yield_cost_factor/Q121</f>
        <v>0.124778433778488</v>
      </c>
      <c r="BJ121" s="197" t="n">
        <f aca="false">Algae_yield_cost_factor/R121</f>
        <v>0.114941450878063</v>
      </c>
      <c r="BK121" s="197" t="n">
        <f aca="false">Algae_yield_cost_factor/S121</f>
        <v>0.105557682076797</v>
      </c>
      <c r="BL121" s="197" t="n">
        <f aca="false">Algae_yield_cost_factor/T121</f>
        <v>0.0975904419113584</v>
      </c>
      <c r="BM121" s="197" t="n">
        <f aca="false">Algae_yield_cost_factor/U121</f>
        <v>0.0914680329538627</v>
      </c>
      <c r="BN121" s="197" t="n">
        <f aca="false">Algae_yield_cost_factor/V121</f>
        <v>0.0871141871703567</v>
      </c>
      <c r="BO121" s="197" t="n">
        <f aca="false">Algae_yield_cost_factor/W121</f>
        <v>0.0841858619247908</v>
      </c>
      <c r="BP121" s="197" t="n">
        <f aca="false">Algae_yield_cost_factor/X121</f>
        <v>0.0822894245482093</v>
      </c>
      <c r="BQ121" s="197" t="n">
        <f aca="false">Algae_yield_cost_factor/Y121</f>
        <v>0.0810911713620156</v>
      </c>
      <c r="BR121" s="197" t="n">
        <f aca="false">Algae_yield_cost_factor/Z121</f>
        <v>0.0803458191530586</v>
      </c>
      <c r="BS121" s="197" t="n">
        <f aca="false">Algae_yield_cost_factor/AA121</f>
        <v>0.0798866909559532</v>
      </c>
      <c r="BT121" s="197" t="n">
        <f aca="false">Algae_yield_cost_factor/AB121</f>
        <v>0.0796055724865909</v>
      </c>
      <c r="BU121" s="197" t="n">
        <f aca="false">Algae_yield_cost_factor/AC121</f>
        <v>0.0794340817914669</v>
      </c>
    </row>
    <row r="122" customFormat="false" ht="15" hidden="false" customHeight="false" outlineLevel="0" collapsed="false">
      <c r="A122" s="18" t="s">
        <v>709</v>
      </c>
      <c r="B122" s="18" t="s">
        <v>22</v>
      </c>
      <c r="C122" s="18" t="s">
        <v>682</v>
      </c>
      <c r="D122" s="18" t="s">
        <v>682</v>
      </c>
      <c r="E122" s="28" t="n">
        <v>5.523545</v>
      </c>
      <c r="F122" s="185" t="n">
        <f aca="false">E122/$B$2*$F$3/1000</f>
        <v>0.01353268525</v>
      </c>
      <c r="G122" s="18" t="n">
        <f aca="false">LOOKUP(RIGHT(D122,5),Ref!$C$4:$C$21,Ref!$E$4:$E$21)*$G$3</f>
        <v>3</v>
      </c>
      <c r="H122" s="218" t="n">
        <f aca="false">$E122</f>
        <v>5.523545</v>
      </c>
      <c r="I122" s="177" t="n">
        <f aca="false">$E122</f>
        <v>5.523545</v>
      </c>
      <c r="J122" s="177" t="n">
        <f aca="false">$E122</f>
        <v>5.523545</v>
      </c>
      <c r="K122" s="177" t="n">
        <f aca="false">$E122</f>
        <v>5.523545</v>
      </c>
      <c r="L122" s="177" t="n">
        <f aca="false">$E122</f>
        <v>5.523545</v>
      </c>
      <c r="M122" s="177" t="n">
        <f aca="false">M$3*$E122</f>
        <v>5.78550394466058</v>
      </c>
      <c r="N122" s="177" t="n">
        <f aca="false">N$3*$E122</f>
        <v>5.94255107096544</v>
      </c>
      <c r="O122" s="177" t="n">
        <f aca="false">O$3*$E122</f>
        <v>6.18196770392066</v>
      </c>
      <c r="P122" s="177" t="n">
        <f aca="false">P$3*$E122</f>
        <v>6.53118058989298</v>
      </c>
      <c r="Q122" s="177" t="n">
        <f aca="false">Q$3*$E122</f>
        <v>7.00905504330113</v>
      </c>
      <c r="R122" s="177" t="n">
        <f aca="false">R$3*$E122</f>
        <v>7.60890787343665</v>
      </c>
      <c r="S122" s="177" t="n">
        <f aca="false">S$3*$E122</f>
        <v>8.2853175</v>
      </c>
      <c r="T122" s="177" t="n">
        <f aca="false">T$3*$E122</f>
        <v>8.96172712656335</v>
      </c>
      <c r="U122" s="177" t="n">
        <f aca="false">U$3*$E122</f>
        <v>9.56157995669887</v>
      </c>
      <c r="V122" s="177" t="n">
        <f aca="false">V$3*$E122</f>
        <v>10.039454410107</v>
      </c>
      <c r="W122" s="177" t="n">
        <f aca="false">W$3*$E122</f>
        <v>10.3886672960793</v>
      </c>
      <c r="X122" s="177" t="n">
        <f aca="false">X$3*$E122</f>
        <v>10.6280839290346</v>
      </c>
      <c r="Y122" s="177" t="n">
        <f aca="false">Y$3*$E122</f>
        <v>10.7851310553394</v>
      </c>
      <c r="Z122" s="177" t="n">
        <f aca="false">Z$3*$E122</f>
        <v>10.8851825743945</v>
      </c>
      <c r="AA122" s="177" t="n">
        <f aca="false">AA$3*$E122</f>
        <v>10.9477423598949</v>
      </c>
      <c r="AB122" s="177" t="n">
        <f aca="false">AB$3*$E122</f>
        <v>10.9864031279675</v>
      </c>
      <c r="AC122" s="177" t="n">
        <f aca="false">AC$3*$E122</f>
        <v>11.0101217367414</v>
      </c>
      <c r="AD122" s="219" t="n">
        <f aca="false">Algae_electricity_factor/H122</f>
        <v>0.00248818414687112</v>
      </c>
      <c r="AE122" s="220" t="n">
        <f aca="false">Algae_electricity_factor/I122</f>
        <v>0.00248818414687112</v>
      </c>
      <c r="AF122" s="220" t="n">
        <f aca="false">Algae_electricity_factor/J122</f>
        <v>0.00248818414687112</v>
      </c>
      <c r="AG122" s="220" t="n">
        <f aca="false">Algae_electricity_factor/K122</f>
        <v>0.00248818414687112</v>
      </c>
      <c r="AH122" s="220" t="n">
        <f aca="false">Algae_electricity_factor/L122</f>
        <v>0.00248818414687112</v>
      </c>
      <c r="AI122" s="220" t="n">
        <f aca="false">Algae_electricity_factor/M122</f>
        <v>0.00237552289912673</v>
      </c>
      <c r="AJ122" s="220" t="n">
        <f aca="false">Algae_electricity_factor/N122</f>
        <v>0.00231274362464948</v>
      </c>
      <c r="AK122" s="220" t="n">
        <f aca="false">Algae_electricity_factor/O122</f>
        <v>0.00222317517039323</v>
      </c>
      <c r="AL122" s="220" t="n">
        <f aca="false">Algae_electricity_factor/P122</f>
        <v>0.00210430517337057</v>
      </c>
      <c r="AM122" s="220" t="n">
        <f aca="false">Algae_electricity_factor/Q122</f>
        <v>0.00196083452314512</v>
      </c>
      <c r="AN122" s="220" t="n">
        <f aca="false">Algae_electricity_factor/R122</f>
        <v>0.00180625095376819</v>
      </c>
      <c r="AO122" s="220" t="n">
        <f aca="false">Algae_electricity_factor/S122</f>
        <v>0.00165878943124742</v>
      </c>
      <c r="AP122" s="220" t="n">
        <f aca="false">Algae_electricity_factor/T122</f>
        <v>0.00153358799140313</v>
      </c>
      <c r="AQ122" s="220" t="n">
        <f aca="false">Algae_electricity_factor/U122</f>
        <v>0.00143737720813603</v>
      </c>
      <c r="AR122" s="220" t="n">
        <f aca="false">Algae_electricity_factor/V122</f>
        <v>0.00136895856508828</v>
      </c>
      <c r="AS122" s="220" t="n">
        <f aca="false">Algae_electricity_factor/W122</f>
        <v>0.00132294130823846</v>
      </c>
      <c r="AT122" s="220" t="n">
        <f aca="false">Algae_electricity_factor/X122</f>
        <v>0.00129313968494204</v>
      </c>
      <c r="AU122" s="220" t="n">
        <f aca="false">Algae_electricity_factor/Y122</f>
        <v>0.00127430969851082</v>
      </c>
      <c r="AV122" s="220" t="n">
        <f aca="false">Algae_electricity_factor/Z122</f>
        <v>0.0012625968383717</v>
      </c>
      <c r="AW122" s="220" t="n">
        <f aca="false">Algae_electricity_factor/AA122</f>
        <v>0.00125538185424206</v>
      </c>
      <c r="AX122" s="220" t="n">
        <f aca="false">Algae_electricity_factor/AB122</f>
        <v>0.00125096420943656</v>
      </c>
      <c r="AY122" s="220" t="n">
        <f aca="false">Algae_electricity_factor/AC122</f>
        <v>0.00124826931365037</v>
      </c>
      <c r="AZ122" s="221" t="n">
        <f aca="false">Algae_yield_cost_factor/H122</f>
        <v>0.137745346382842</v>
      </c>
      <c r="BA122" s="197" t="n">
        <f aca="false">Algae_yield_cost_factor/I122</f>
        <v>0.137745346382842</v>
      </c>
      <c r="BB122" s="197" t="n">
        <f aca="false">Algae_yield_cost_factor/J122</f>
        <v>0.137745346382842</v>
      </c>
      <c r="BC122" s="197" t="n">
        <f aca="false">Algae_yield_cost_factor/K122</f>
        <v>0.137745346382842</v>
      </c>
      <c r="BD122" s="197" t="n">
        <f aca="false">Algae_yield_cost_factor/L122</f>
        <v>0.137745346382842</v>
      </c>
      <c r="BE122" s="197" t="n">
        <f aca="false">Algae_yield_cost_factor/M122</f>
        <v>0.131508443614216</v>
      </c>
      <c r="BF122" s="197" t="n">
        <f aca="false">Algae_yield_cost_factor/N122</f>
        <v>0.128032996300797</v>
      </c>
      <c r="BG122" s="197" t="n">
        <f aca="false">Algae_yield_cost_factor/O122</f>
        <v>0.123074505679427</v>
      </c>
      <c r="BH122" s="197" t="n">
        <f aca="false">Algae_yield_cost_factor/P122</f>
        <v>0.11649388786824</v>
      </c>
      <c r="BI122" s="197" t="n">
        <f aca="false">Algae_yield_cost_factor/Q122</f>
        <v>0.108551383115958</v>
      </c>
      <c r="BJ122" s="197" t="n">
        <f aca="false">Algae_yield_cost_factor/R122</f>
        <v>0.0999936695175906</v>
      </c>
      <c r="BK122" s="197" t="n">
        <f aca="false">Algae_yield_cost_factor/S122</f>
        <v>0.091830230921895</v>
      </c>
      <c r="BL122" s="197" t="n">
        <f aca="false">Algae_yield_cost_factor/T122</f>
        <v>0.0848991057796229</v>
      </c>
      <c r="BM122" s="197" t="n">
        <f aca="false">Algae_yield_cost_factor/U122</f>
        <v>0.0795728972337013</v>
      </c>
      <c r="BN122" s="197" t="n">
        <f aca="false">Algae_yield_cost_factor/V122</f>
        <v>0.0757852556728835</v>
      </c>
      <c r="BO122" s="197" t="n">
        <f aca="false">Algae_yield_cost_factor/W122</f>
        <v>0.0732377500984518</v>
      </c>
      <c r="BP122" s="197" t="n">
        <f aca="false">Algae_yield_cost_factor/X122</f>
        <v>0.0715879385566097</v>
      </c>
      <c r="BQ122" s="197" t="n">
        <f aca="false">Algae_yield_cost_factor/Y122</f>
        <v>0.070545514503465</v>
      </c>
      <c r="BR122" s="197" t="n">
        <f aca="false">Algae_yield_cost_factor/Z122</f>
        <v>0.0698970930516102</v>
      </c>
      <c r="BS122" s="197" t="n">
        <f aca="false">Algae_yield_cost_factor/AA122</f>
        <v>0.069497673061199</v>
      </c>
      <c r="BT122" s="197" t="n">
        <f aca="false">Algae_yield_cost_factor/AB122</f>
        <v>0.0692531131821826</v>
      </c>
      <c r="BU122" s="197" t="n">
        <f aca="false">Algae_yield_cost_factor/AC122</f>
        <v>0.0691039243233107</v>
      </c>
    </row>
    <row r="123" customFormat="false" ht="15" hidden="false" customHeight="false" outlineLevel="0" collapsed="false">
      <c r="A123" s="18" t="s">
        <v>710</v>
      </c>
      <c r="B123" s="18" t="s">
        <v>22</v>
      </c>
      <c r="C123" s="18" t="s">
        <v>686</v>
      </c>
      <c r="D123" s="18" t="s">
        <v>686</v>
      </c>
      <c r="E123" s="28" t="n">
        <v>4.59243</v>
      </c>
      <c r="F123" s="185" t="n">
        <f aca="false">E123/$B$2*$F$3/1000</f>
        <v>0.0112514535</v>
      </c>
      <c r="G123" s="18" t="n">
        <f aca="false">LOOKUP(RIGHT(D123,5),Ref!$C$4:$C$21,Ref!$E$4:$E$21)*$G$3</f>
        <v>4.5</v>
      </c>
      <c r="H123" s="218" t="n">
        <f aca="false">$E123</f>
        <v>4.59243</v>
      </c>
      <c r="I123" s="177" t="n">
        <f aca="false">$E123</f>
        <v>4.59243</v>
      </c>
      <c r="J123" s="177" t="n">
        <f aca="false">$E123</f>
        <v>4.59243</v>
      </c>
      <c r="K123" s="177" t="n">
        <f aca="false">$E123</f>
        <v>4.59243</v>
      </c>
      <c r="L123" s="177" t="n">
        <f aca="false">$E123</f>
        <v>4.59243</v>
      </c>
      <c r="M123" s="177" t="n">
        <f aca="false">M$3*$E123</f>
        <v>4.81023000275685</v>
      </c>
      <c r="N123" s="177" t="n">
        <f aca="false">N$3*$E123</f>
        <v>4.94080338167496</v>
      </c>
      <c r="O123" s="177" t="n">
        <f aca="false">O$3*$E123</f>
        <v>5.13986107518203</v>
      </c>
      <c r="P123" s="177" t="n">
        <f aca="false">P$3*$E123</f>
        <v>5.43020644829403</v>
      </c>
      <c r="Q123" s="177" t="n">
        <f aca="false">Q$3*$E123</f>
        <v>5.82752465174221</v>
      </c>
      <c r="R123" s="177" t="n">
        <f aca="false">R$3*$E123</f>
        <v>6.32625909360867</v>
      </c>
      <c r="S123" s="177" t="n">
        <f aca="false">S$3*$E123</f>
        <v>6.888645</v>
      </c>
      <c r="T123" s="177" t="n">
        <f aca="false">T$3*$E123</f>
        <v>7.45103090639133</v>
      </c>
      <c r="U123" s="177" t="n">
        <f aca="false">U$3*$E123</f>
        <v>7.94976534825779</v>
      </c>
      <c r="V123" s="177" t="n">
        <f aca="false">V$3*$E123</f>
        <v>8.34708355170598</v>
      </c>
      <c r="W123" s="177" t="n">
        <f aca="false">W$3*$E123</f>
        <v>8.63742892481797</v>
      </c>
      <c r="X123" s="177" t="n">
        <f aca="false">X$3*$E123</f>
        <v>8.83648661832504</v>
      </c>
      <c r="Y123" s="177" t="n">
        <f aca="false">Y$3*$E123</f>
        <v>8.96705999724315</v>
      </c>
      <c r="Z123" s="177" t="n">
        <f aca="false">Z$3*$E123</f>
        <v>9.05024563213055</v>
      </c>
      <c r="AA123" s="177" t="n">
        <f aca="false">AA$3*$E123</f>
        <v>9.10225958978379</v>
      </c>
      <c r="AB123" s="177" t="n">
        <f aca="false">AB$3*$E123</f>
        <v>9.13440323505499</v>
      </c>
      <c r="AC123" s="177" t="n">
        <f aca="false">AC$3*$E123</f>
        <v>9.15412355062979</v>
      </c>
      <c r="AD123" s="219" t="n">
        <f aca="false">Algae_electricity_factor/H123</f>
        <v>0.00299266338377052</v>
      </c>
      <c r="AE123" s="220" t="n">
        <f aca="false">Algae_electricity_factor/I123</f>
        <v>0.00299266338377052</v>
      </c>
      <c r="AF123" s="220" t="n">
        <f aca="false">Algae_electricity_factor/J123</f>
        <v>0.00299266338377052</v>
      </c>
      <c r="AG123" s="220" t="n">
        <f aca="false">Algae_electricity_factor/K123</f>
        <v>0.00299266338377052</v>
      </c>
      <c r="AH123" s="220" t="n">
        <f aca="false">Algae_electricity_factor/L123</f>
        <v>0.00299266338377052</v>
      </c>
      <c r="AI123" s="220" t="n">
        <f aca="false">Algae_electricity_factor/M123</f>
        <v>0.00285716007252304</v>
      </c>
      <c r="AJ123" s="220" t="n">
        <f aca="false">Algae_electricity_factor/N123</f>
        <v>0.00278165230264033</v>
      </c>
      <c r="AK123" s="220" t="n">
        <f aca="false">Algae_electricity_factor/O123</f>
        <v>0.00267392384784301</v>
      </c>
      <c r="AL123" s="220" t="n">
        <f aca="false">Algae_electricity_factor/P123</f>
        <v>0.00253095296364782</v>
      </c>
      <c r="AM123" s="220" t="n">
        <f aca="false">Algae_electricity_factor/Q123</f>
        <v>0.00235839364479058</v>
      </c>
      <c r="AN123" s="220" t="n">
        <f aca="false">Algae_electricity_factor/R123</f>
        <v>0.00217246826286553</v>
      </c>
      <c r="AO123" s="220" t="n">
        <f aca="false">Algae_electricity_factor/S123</f>
        <v>0.00199510892251368</v>
      </c>
      <c r="AP123" s="220" t="n">
        <f aca="false">Algae_electricity_factor/T123</f>
        <v>0.00184452289571639</v>
      </c>
      <c r="AQ123" s="220" t="n">
        <f aca="false">Algae_electricity_factor/U123</f>
        <v>0.00172880537996523</v>
      </c>
      <c r="AR123" s="220" t="n">
        <f aca="false">Algae_electricity_factor/V123</f>
        <v>0.00164651485975845</v>
      </c>
      <c r="AS123" s="220" t="n">
        <f aca="false">Algae_electricity_factor/W123</f>
        <v>0.00159116760591103</v>
      </c>
      <c r="AT123" s="220" t="n">
        <f aca="false">Algae_electricity_factor/X123</f>
        <v>0.00155532370467555</v>
      </c>
      <c r="AU123" s="220" t="n">
        <f aca="false">Algae_electricity_factor/Y123</f>
        <v>0.0015326759392437</v>
      </c>
      <c r="AV123" s="220" t="n">
        <f aca="false">Algae_electricity_factor/Z123</f>
        <v>0.00151858829717684</v>
      </c>
      <c r="AW123" s="220" t="n">
        <f aca="false">Algae_electricity_factor/AA123</f>
        <v>0.00150991047530163</v>
      </c>
      <c r="AX123" s="220" t="n">
        <f aca="false">Algae_electricity_factor/AB123</f>
        <v>0.00150459715318737</v>
      </c>
      <c r="AY123" s="220" t="n">
        <f aca="false">Algae_electricity_factor/AC123</f>
        <v>0.00150135586738762</v>
      </c>
      <c r="AZ123" s="221" t="n">
        <f aca="false">Algae_yield_cost_factor/H123</f>
        <v>0.165673209888059</v>
      </c>
      <c r="BA123" s="197" t="n">
        <f aca="false">Algae_yield_cost_factor/I123</f>
        <v>0.165673209888059</v>
      </c>
      <c r="BB123" s="197" t="n">
        <f aca="false">Algae_yield_cost_factor/J123</f>
        <v>0.165673209888059</v>
      </c>
      <c r="BC123" s="197" t="n">
        <f aca="false">Algae_yield_cost_factor/K123</f>
        <v>0.165673209888059</v>
      </c>
      <c r="BD123" s="197" t="n">
        <f aca="false">Algae_yield_cost_factor/L123</f>
        <v>0.165673209888059</v>
      </c>
      <c r="BE123" s="197" t="n">
        <f aca="false">Algae_yield_cost_factor/M123</f>
        <v>0.158171775330943</v>
      </c>
      <c r="BF123" s="197" t="n">
        <f aca="false">Algae_yield_cost_factor/N123</f>
        <v>0.153991681212841</v>
      </c>
      <c r="BG123" s="197" t="n">
        <f aca="false">Algae_yield_cost_factor/O123</f>
        <v>0.148027856815035</v>
      </c>
      <c r="BH123" s="197" t="n">
        <f aca="false">Algae_yield_cost_factor/P123</f>
        <v>0.140113019004139</v>
      </c>
      <c r="BI123" s="197" t="n">
        <f aca="false">Algae_yield_cost_factor/Q123</f>
        <v>0.130560171728961</v>
      </c>
      <c r="BJ123" s="197" t="n">
        <f aca="false">Algae_yield_cost_factor/R123</f>
        <v>0.120267382038603</v>
      </c>
      <c r="BK123" s="197" t="n">
        <f aca="false">Algae_yield_cost_factor/S123</f>
        <v>0.110448806592039</v>
      </c>
      <c r="BL123" s="197" t="n">
        <f aca="false">Algae_yield_cost_factor/T123</f>
        <v>0.10211239610261</v>
      </c>
      <c r="BM123" s="197" t="n">
        <f aca="false">Algae_yield_cost_factor/U123</f>
        <v>0.0957062989856623</v>
      </c>
      <c r="BN123" s="197" t="n">
        <f aca="false">Algae_yield_cost_factor/V123</f>
        <v>0.0911507132489068</v>
      </c>
      <c r="BO123" s="197" t="n">
        <f aca="false">Algae_yield_cost_factor/W123</f>
        <v>0.0880867010204952</v>
      </c>
      <c r="BP123" s="197" t="n">
        <f aca="false">Algae_yield_cost_factor/X123</f>
        <v>0.0861023902541071</v>
      </c>
      <c r="BQ123" s="197" t="n">
        <f aca="false">Algae_yield_cost_factor/Y123</f>
        <v>0.0848486147656125</v>
      </c>
      <c r="BR123" s="197" t="n">
        <f aca="false">Algae_yield_cost_factor/Z123</f>
        <v>0.0840687258901619</v>
      </c>
      <c r="BS123" s="197" t="n">
        <f aca="false">Algae_yield_cost_factor/AA123</f>
        <v>0.0835883235125675</v>
      </c>
      <c r="BT123" s="197" t="n">
        <f aca="false">Algae_yield_cost_factor/AB123</f>
        <v>0.0832941791277991</v>
      </c>
      <c r="BU123" s="197" t="n">
        <f aca="false">Algae_yield_cost_factor/AC123</f>
        <v>0.0831147422337197</v>
      </c>
    </row>
    <row r="124" customFormat="false" ht="15" hidden="false" customHeight="false" outlineLevel="0" collapsed="false">
      <c r="A124" s="18" t="s">
        <v>710</v>
      </c>
      <c r="B124" s="18" t="s">
        <v>22</v>
      </c>
      <c r="C124" s="18" t="s">
        <v>687</v>
      </c>
      <c r="D124" s="18" t="s">
        <v>687</v>
      </c>
      <c r="E124" s="28" t="n">
        <v>4.283202</v>
      </c>
      <c r="F124" s="185" t="n">
        <f aca="false">E124/$B$2*$F$3/1000</f>
        <v>0.0104938449</v>
      </c>
      <c r="G124" s="18" t="n">
        <f aca="false">LOOKUP(RIGHT(D124,5),Ref!$C$4:$C$21,Ref!$E$4:$E$21)*$G$3</f>
        <v>4.5</v>
      </c>
      <c r="H124" s="218" t="n">
        <f aca="false">$E124</f>
        <v>4.283202</v>
      </c>
      <c r="I124" s="177" t="n">
        <f aca="false">$E124</f>
        <v>4.283202</v>
      </c>
      <c r="J124" s="177" t="n">
        <f aca="false">$E124</f>
        <v>4.283202</v>
      </c>
      <c r="K124" s="177" t="n">
        <f aca="false">$E124</f>
        <v>4.283202</v>
      </c>
      <c r="L124" s="177" t="n">
        <f aca="false">$E124</f>
        <v>4.283202</v>
      </c>
      <c r="M124" s="177" t="n">
        <f aca="false">M$3*$E124</f>
        <v>4.4863365948459</v>
      </c>
      <c r="N124" s="177" t="n">
        <f aca="false">N$3*$E124</f>
        <v>4.60811790838335</v>
      </c>
      <c r="O124" s="177" t="n">
        <f aca="false">O$3*$E124</f>
        <v>4.79377219401098</v>
      </c>
      <c r="P124" s="177" t="n">
        <f aca="false">P$3*$E124</f>
        <v>5.06456736841843</v>
      </c>
      <c r="Q124" s="177" t="n">
        <f aca="false">Q$3*$E124</f>
        <v>5.43513243389481</v>
      </c>
      <c r="R124" s="177" t="n">
        <f aca="false">R$3*$E124</f>
        <v>5.90028494767755</v>
      </c>
      <c r="S124" s="177" t="n">
        <f aca="false">S$3*$E124</f>
        <v>6.424803</v>
      </c>
      <c r="T124" s="177" t="n">
        <f aca="false">T$3*$E124</f>
        <v>6.94932105232245</v>
      </c>
      <c r="U124" s="177" t="n">
        <f aca="false">U$3*$E124</f>
        <v>7.41447356610519</v>
      </c>
      <c r="V124" s="177" t="n">
        <f aca="false">V$3*$E124</f>
        <v>7.78503863158157</v>
      </c>
      <c r="W124" s="177" t="n">
        <f aca="false">W$3*$E124</f>
        <v>8.05583380598902</v>
      </c>
      <c r="X124" s="177" t="n">
        <f aca="false">X$3*$E124</f>
        <v>8.24148809161665</v>
      </c>
      <c r="Y124" s="177" t="n">
        <f aca="false">Y$3*$E124</f>
        <v>8.3632694051541</v>
      </c>
      <c r="Z124" s="177" t="n">
        <f aca="false">Z$3*$E124</f>
        <v>8.44085379462133</v>
      </c>
      <c r="AA124" s="177" t="n">
        <f aca="false">AA$3*$E124</f>
        <v>8.48936542951795</v>
      </c>
      <c r="AB124" s="177" t="n">
        <f aca="false">AB$3*$E124</f>
        <v>8.51934470535076</v>
      </c>
      <c r="AC124" s="177" t="n">
        <f aca="false">AC$3*$E124</f>
        <v>8.5377371675354</v>
      </c>
      <c r="AD124" s="219" t="n">
        <f aca="false">Algae_electricity_factor/H124</f>
        <v>0.00320872027598261</v>
      </c>
      <c r="AE124" s="220" t="n">
        <f aca="false">Algae_electricity_factor/I124</f>
        <v>0.00320872027598261</v>
      </c>
      <c r="AF124" s="220" t="n">
        <f aca="false">Algae_electricity_factor/J124</f>
        <v>0.00320872027598261</v>
      </c>
      <c r="AG124" s="220" t="n">
        <f aca="false">Algae_electricity_factor/K124</f>
        <v>0.00320872027598261</v>
      </c>
      <c r="AH124" s="220" t="n">
        <f aca="false">Algae_electricity_factor/L124</f>
        <v>0.00320872027598261</v>
      </c>
      <c r="AI124" s="220" t="n">
        <f aca="false">Algae_electricity_factor/M124</f>
        <v>0.00306343423258043</v>
      </c>
      <c r="AJ124" s="220" t="n">
        <f aca="false">Algae_electricity_factor/N124</f>
        <v>0.0029824751399104</v>
      </c>
      <c r="AK124" s="220" t="n">
        <f aca="false">Algae_electricity_factor/O124</f>
        <v>0.00286696917319092</v>
      </c>
      <c r="AL124" s="220" t="n">
        <f aca="false">Algae_electricity_factor/P124</f>
        <v>0.00271367643152136</v>
      </c>
      <c r="AM124" s="220" t="n">
        <f aca="false">Algae_electricity_factor/Q124</f>
        <v>0.00252865910273333</v>
      </c>
      <c r="AN124" s="220" t="n">
        <f aca="false">Algae_electricity_factor/R124</f>
        <v>0.00232931074099039</v>
      </c>
      <c r="AO124" s="220" t="n">
        <f aca="false">Algae_electricity_factor/S124</f>
        <v>0.00213914685065507</v>
      </c>
      <c r="AP124" s="220" t="n">
        <f aca="false">Algae_electricity_factor/T124</f>
        <v>0.00197768918719566</v>
      </c>
      <c r="AQ124" s="220" t="n">
        <f aca="false">Algae_electricity_factor/U124</f>
        <v>0.00185361738510435</v>
      </c>
      <c r="AR124" s="220" t="n">
        <f aca="false">Algae_electricity_factor/V124</f>
        <v>0.0017653858579167</v>
      </c>
      <c r="AS124" s="220" t="n">
        <f aca="false">Algae_electricity_factor/W124</f>
        <v>0.00170604278024104</v>
      </c>
      <c r="AT124" s="220" t="n">
        <f aca="false">Algae_electricity_factor/X124</f>
        <v>0.00166761110988068</v>
      </c>
      <c r="AU124" s="220" t="n">
        <f aca="false">Algae_electricity_factor/Y124</f>
        <v>0.00164332827722366</v>
      </c>
      <c r="AV124" s="220" t="n">
        <f aca="false">Algae_electricity_factor/Z124</f>
        <v>0.00162822357049792</v>
      </c>
      <c r="AW124" s="220" t="n">
        <f aca="false">Algae_electricity_factor/AA124</f>
        <v>0.00161891924875116</v>
      </c>
      <c r="AX124" s="220" t="n">
        <f aca="false">Algae_electricity_factor/AB124</f>
        <v>0.00161322232857855</v>
      </c>
      <c r="AY124" s="220" t="n">
        <f aca="false">Algae_electricity_factor/AC124</f>
        <v>0.00160974703646173</v>
      </c>
      <c r="AZ124" s="221" t="n">
        <f aca="false">Algae_yield_cost_factor/H124</f>
        <v>0.177634073594058</v>
      </c>
      <c r="BA124" s="197" t="n">
        <f aca="false">Algae_yield_cost_factor/I124</f>
        <v>0.177634073594058</v>
      </c>
      <c r="BB124" s="197" t="n">
        <f aca="false">Algae_yield_cost_factor/J124</f>
        <v>0.177634073594058</v>
      </c>
      <c r="BC124" s="197" t="n">
        <f aca="false">Algae_yield_cost_factor/K124</f>
        <v>0.177634073594058</v>
      </c>
      <c r="BD124" s="197" t="n">
        <f aca="false">Algae_yield_cost_factor/L124</f>
        <v>0.177634073594058</v>
      </c>
      <c r="BE124" s="197" t="n">
        <f aca="false">Algae_yield_cost_factor/M124</f>
        <v>0.169591069060736</v>
      </c>
      <c r="BF124" s="197" t="n">
        <f aca="false">Algae_yield_cost_factor/N124</f>
        <v>0.165109190869888</v>
      </c>
      <c r="BG124" s="197" t="n">
        <f aca="false">Algae_yield_cost_factor/O124</f>
        <v>0.158714805062444</v>
      </c>
      <c r="BH124" s="197" t="n">
        <f aca="false">Algae_yield_cost_factor/P124</f>
        <v>0.150228551412046</v>
      </c>
      <c r="BI124" s="197" t="n">
        <f aca="false">Algae_yield_cost_factor/Q124</f>
        <v>0.139986031350666</v>
      </c>
      <c r="BJ124" s="197" t="n">
        <f aca="false">Algae_yield_cost_factor/R124</f>
        <v>0.12895014834592</v>
      </c>
      <c r="BK124" s="197" t="n">
        <f aca="false">Algae_yield_cost_factor/S124</f>
        <v>0.118422715729372</v>
      </c>
      <c r="BL124" s="197" t="n">
        <f aca="false">Algae_yield_cost_factor/T124</f>
        <v>0.109484453741268</v>
      </c>
      <c r="BM124" s="197" t="n">
        <f aca="false">Algae_yield_cost_factor/U124</f>
        <v>0.102615865105294</v>
      </c>
      <c r="BN124" s="197" t="n">
        <f aca="false">Algae_yield_cost_factor/V124</f>
        <v>0.0977313864827475</v>
      </c>
      <c r="BO124" s="197" t="n">
        <f aca="false">Algae_yield_cost_factor/W124</f>
        <v>0.0944461662951112</v>
      </c>
      <c r="BP124" s="197" t="n">
        <f aca="false">Algae_yield_cost_factor/X124</f>
        <v>0.0923185971790891</v>
      </c>
      <c r="BQ124" s="197" t="n">
        <f aca="false">Algae_yield_cost_factor/Y124</f>
        <v>0.0909743047159676</v>
      </c>
      <c r="BR124" s="197" t="n">
        <f aca="false">Algae_yield_cost_factor/Z124</f>
        <v>0.0901381113568204</v>
      </c>
      <c r="BS124" s="197" t="n">
        <f aca="false">Algae_yield_cost_factor/AA124</f>
        <v>0.0896230260792791</v>
      </c>
      <c r="BT124" s="197" t="n">
        <f aca="false">Algae_yield_cost_factor/AB124</f>
        <v>0.0893076457873989</v>
      </c>
      <c r="BU124" s="197" t="n">
        <f aca="false">Algae_yield_cost_factor/AC124</f>
        <v>0.0891152543532622</v>
      </c>
    </row>
    <row r="125" customFormat="false" ht="15" hidden="false" customHeight="false" outlineLevel="0" collapsed="false">
      <c r="A125" s="18" t="s">
        <v>710</v>
      </c>
      <c r="B125" s="18" t="s">
        <v>22</v>
      </c>
      <c r="C125" s="18" t="s">
        <v>688</v>
      </c>
      <c r="D125" s="18" t="s">
        <v>688</v>
      </c>
      <c r="E125" s="28" t="n">
        <v>5.23981225</v>
      </c>
      <c r="F125" s="185" t="n">
        <f aca="false">E125/$B$2*$F$3/1000</f>
        <v>0.0128375400125</v>
      </c>
      <c r="G125" s="18" t="n">
        <f aca="false">LOOKUP(RIGHT(D125,5),Ref!$C$4:$C$21,Ref!$E$4:$E$21)*$G$3</f>
        <v>4.5</v>
      </c>
      <c r="H125" s="218" t="n">
        <f aca="false">$E125</f>
        <v>5.23981225</v>
      </c>
      <c r="I125" s="177" t="n">
        <f aca="false">$E125</f>
        <v>5.23981225</v>
      </c>
      <c r="J125" s="177" t="n">
        <f aca="false">$E125</f>
        <v>5.23981225</v>
      </c>
      <c r="K125" s="177" t="n">
        <f aca="false">$E125</f>
        <v>5.23981225</v>
      </c>
      <c r="L125" s="177" t="n">
        <f aca="false">$E125</f>
        <v>5.23981225</v>
      </c>
      <c r="M125" s="177" t="n">
        <f aca="false">M$3*$E125</f>
        <v>5.48831492124276</v>
      </c>
      <c r="N125" s="177" t="n">
        <f aca="false">N$3*$E125</f>
        <v>5.63729487093802</v>
      </c>
      <c r="O125" s="177" t="n">
        <f aca="false">O$3*$E125</f>
        <v>5.86441318104729</v>
      </c>
      <c r="P125" s="177" t="n">
        <f aca="false">P$3*$E125</f>
        <v>6.19568774435321</v>
      </c>
      <c r="Q125" s="177" t="n">
        <f aca="false">Q$3*$E125</f>
        <v>6.64901480422691</v>
      </c>
      <c r="R125" s="177" t="n">
        <f aca="false">R$3*$E125</f>
        <v>7.21805447124172</v>
      </c>
      <c r="S125" s="177" t="n">
        <f aca="false">S$3*$E125</f>
        <v>7.859718375</v>
      </c>
      <c r="T125" s="177" t="n">
        <f aca="false">T$3*$E125</f>
        <v>8.50138227875828</v>
      </c>
      <c r="U125" s="177" t="n">
        <f aca="false">U$3*$E125</f>
        <v>9.07042194577309</v>
      </c>
      <c r="V125" s="177" t="n">
        <f aca="false">V$3*$E125</f>
        <v>9.52374900564679</v>
      </c>
      <c r="W125" s="177" t="n">
        <f aca="false">W$3*$E125</f>
        <v>9.85502356895271</v>
      </c>
      <c r="X125" s="177" t="n">
        <f aca="false">X$3*$E125</f>
        <v>10.082141879062</v>
      </c>
      <c r="Y125" s="177" t="n">
        <f aca="false">Y$3*$E125</f>
        <v>10.2311218287572</v>
      </c>
      <c r="Z125" s="177" t="n">
        <f aca="false">Z$3*$E125</f>
        <v>10.3260339142342</v>
      </c>
      <c r="AA125" s="177" t="n">
        <f aca="false">AA$3*$E125</f>
        <v>10.3853801367096</v>
      </c>
      <c r="AB125" s="177" t="n">
        <f aca="false">AB$3*$E125</f>
        <v>10.4220549834142</v>
      </c>
      <c r="AC125" s="177" t="n">
        <f aca="false">AC$3*$E125</f>
        <v>10.4445552177395</v>
      </c>
      <c r="AD125" s="219" t="n">
        <f aca="false">Algae_electricity_factor/H125</f>
        <v>0.00262291785426649</v>
      </c>
      <c r="AE125" s="220" t="n">
        <f aca="false">Algae_electricity_factor/I125</f>
        <v>0.00262291785426649</v>
      </c>
      <c r="AF125" s="220" t="n">
        <f aca="false">Algae_electricity_factor/J125</f>
        <v>0.00262291785426649</v>
      </c>
      <c r="AG125" s="220" t="n">
        <f aca="false">Algae_electricity_factor/K125</f>
        <v>0.00262291785426649</v>
      </c>
      <c r="AH125" s="220" t="n">
        <f aca="false">Algae_electricity_factor/L125</f>
        <v>0.00262291785426649</v>
      </c>
      <c r="AI125" s="220" t="n">
        <f aca="false">Algae_electricity_factor/M125</f>
        <v>0.00250415606625161</v>
      </c>
      <c r="AJ125" s="220" t="n">
        <f aca="false">Algae_electricity_factor/N125</f>
        <v>0.00243797733100351</v>
      </c>
      <c r="AK125" s="220" t="n">
        <f aca="false">Algae_electricity_factor/O125</f>
        <v>0.00234355879765533</v>
      </c>
      <c r="AL125" s="220" t="n">
        <f aca="false">Algae_electricity_factor/P125</f>
        <v>0.00221825206024226</v>
      </c>
      <c r="AM125" s="220" t="n">
        <f aca="false">Algae_electricity_factor/Q125</f>
        <v>0.00206701255873158</v>
      </c>
      <c r="AN125" s="220" t="n">
        <f aca="false">Algae_electricity_factor/R125</f>
        <v>0.00190405838003671</v>
      </c>
      <c r="AO125" s="220" t="n">
        <f aca="false">Algae_electricity_factor/S125</f>
        <v>0.00174861190284433</v>
      </c>
      <c r="AP125" s="220" t="n">
        <f aca="false">Algae_electricity_factor/T125</f>
        <v>0.00161663087870655</v>
      </c>
      <c r="AQ125" s="220" t="n">
        <f aca="false">Algae_electricity_factor/U125</f>
        <v>0.00151521033814021</v>
      </c>
      <c r="AR125" s="220" t="n">
        <f aca="false">Algae_electricity_factor/V125</f>
        <v>0.00144308686583198</v>
      </c>
      <c r="AS125" s="220" t="n">
        <f aca="false">Algae_electricity_factor/W125</f>
        <v>0.00139457780160233</v>
      </c>
      <c r="AT125" s="220" t="n">
        <f aca="false">Algae_electricity_factor/X125</f>
        <v>0.00136316243794101</v>
      </c>
      <c r="AU125" s="220" t="n">
        <f aca="false">Algae_electricity_factor/Y125</f>
        <v>0.00134331281882494</v>
      </c>
      <c r="AV125" s="220" t="n">
        <f aca="false">Algae_electricity_factor/Z125</f>
        <v>0.00133096571420166</v>
      </c>
      <c r="AW125" s="220" t="n">
        <f aca="false">Algae_electricity_factor/AA125</f>
        <v>0.00132336004292701</v>
      </c>
      <c r="AX125" s="220" t="n">
        <f aca="false">Algae_electricity_factor/AB125</f>
        <v>0.00131870318525483</v>
      </c>
      <c r="AY125" s="220" t="n">
        <f aca="false">Algae_electricity_factor/AC125</f>
        <v>0.00131586236244761</v>
      </c>
      <c r="AZ125" s="221" t="n">
        <f aca="false">Algae_yield_cost_factor/H125</f>
        <v>0.145204175834013</v>
      </c>
      <c r="BA125" s="197" t="n">
        <f aca="false">Algae_yield_cost_factor/I125</f>
        <v>0.145204175834013</v>
      </c>
      <c r="BB125" s="197" t="n">
        <f aca="false">Algae_yield_cost_factor/J125</f>
        <v>0.145204175834013</v>
      </c>
      <c r="BC125" s="197" t="n">
        <f aca="false">Algae_yield_cost_factor/K125</f>
        <v>0.145204175834013</v>
      </c>
      <c r="BD125" s="197" t="n">
        <f aca="false">Algae_yield_cost_factor/L125</f>
        <v>0.145204175834013</v>
      </c>
      <c r="BE125" s="197" t="n">
        <f aca="false">Algae_yield_cost_factor/M125</f>
        <v>0.138629548450535</v>
      </c>
      <c r="BF125" s="197" t="n">
        <f aca="false">Algae_yield_cost_factor/N125</f>
        <v>0.134965907710202</v>
      </c>
      <c r="BG125" s="197" t="n">
        <f aca="false">Algae_yield_cost_factor/O125</f>
        <v>0.12973891773948</v>
      </c>
      <c r="BH125" s="197" t="n">
        <f aca="false">Algae_yield_cost_factor/P125</f>
        <v>0.122801963346144</v>
      </c>
      <c r="BI125" s="197" t="n">
        <f aca="false">Algae_yield_cost_factor/Q125</f>
        <v>0.114429376635247</v>
      </c>
      <c r="BJ125" s="197" t="n">
        <f aca="false">Algae_yield_cost_factor/R125</f>
        <v>0.105408267881266</v>
      </c>
      <c r="BK125" s="197" t="n">
        <f aca="false">Algae_yield_cost_factor/S125</f>
        <v>0.0968027838893423</v>
      </c>
      <c r="BL125" s="197" t="n">
        <f aca="false">Algae_yield_cost_factor/T125</f>
        <v>0.0894963423991971</v>
      </c>
      <c r="BM125" s="197" t="n">
        <f aca="false">Algae_yield_cost_factor/U125</f>
        <v>0.0838817227946908</v>
      </c>
      <c r="BN125" s="197" t="n">
        <f aca="false">Algae_yield_cost_factor/V125</f>
        <v>0.0798889826721706</v>
      </c>
      <c r="BO125" s="197" t="n">
        <f aca="false">Algae_yield_cost_factor/W125</f>
        <v>0.0772035311699485</v>
      </c>
      <c r="BP125" s="197" t="n">
        <f aca="false">Algae_yield_cost_factor/X125</f>
        <v>0.0754643833039379</v>
      </c>
      <c r="BQ125" s="197" t="n">
        <f aca="false">Algae_yield_cost_factor/Y125</f>
        <v>0.0743655126017238</v>
      </c>
      <c r="BR125" s="197" t="n">
        <f aca="false">Algae_yield_cost_factor/Z125</f>
        <v>0.0736819795098109</v>
      </c>
      <c r="BS125" s="197" t="n">
        <f aca="false">Algae_yield_cost_factor/AA125</f>
        <v>0.0732609311619554</v>
      </c>
      <c r="BT125" s="197" t="n">
        <f aca="false">Algae_yield_cost_factor/AB125</f>
        <v>0.0730031285094</v>
      </c>
      <c r="BU125" s="197" t="n">
        <f aca="false">Algae_yield_cost_factor/AC125</f>
        <v>0.0728458611616096</v>
      </c>
    </row>
    <row r="126" customFormat="false" ht="15" hidden="false" customHeight="false" outlineLevel="0" collapsed="false">
      <c r="A126" s="18" t="s">
        <v>711</v>
      </c>
      <c r="B126" s="18" t="s">
        <v>22</v>
      </c>
      <c r="C126" s="18" t="s">
        <v>690</v>
      </c>
      <c r="D126" s="18" t="s">
        <v>690</v>
      </c>
      <c r="E126" s="28" t="n">
        <v>7.79608975</v>
      </c>
      <c r="F126" s="185" t="n">
        <f aca="false">E126/$B$2*$F$3/1000</f>
        <v>0.0191004198875</v>
      </c>
      <c r="G126" s="18" t="n">
        <f aca="false">LOOKUP(RIGHT(D126,5),Ref!$C$4:$C$21,Ref!$E$4:$E$21)*$G$3</f>
        <v>1.5</v>
      </c>
      <c r="H126" s="218" t="n">
        <f aca="false">$E126</f>
        <v>7.79608975</v>
      </c>
      <c r="I126" s="177" t="n">
        <f aca="false">$E126</f>
        <v>7.79608975</v>
      </c>
      <c r="J126" s="177" t="n">
        <f aca="false">$E126</f>
        <v>7.79608975</v>
      </c>
      <c r="K126" s="177" t="n">
        <f aca="false">$E126</f>
        <v>7.79608975</v>
      </c>
      <c r="L126" s="177" t="n">
        <f aca="false">$E126</f>
        <v>7.79608975</v>
      </c>
      <c r="M126" s="177" t="n">
        <f aca="false">M$3*$E126</f>
        <v>8.16582611376443</v>
      </c>
      <c r="N126" s="177" t="n">
        <f aca="false">N$3*$E126</f>
        <v>8.38748692971727</v>
      </c>
      <c r="O126" s="177" t="n">
        <f aca="false">O$3*$E126</f>
        <v>8.72540642854668</v>
      </c>
      <c r="P126" s="177" t="n">
        <f aca="false">P$3*$E126</f>
        <v>9.21829550628512</v>
      </c>
      <c r="Q126" s="177" t="n">
        <f aca="false">Q$3*$E126</f>
        <v>9.89278120849305</v>
      </c>
      <c r="R126" s="177" t="n">
        <f aca="false">R$3*$E126</f>
        <v>10.7394306882254</v>
      </c>
      <c r="S126" s="177" t="n">
        <f aca="false">S$3*$E126</f>
        <v>11.694134625</v>
      </c>
      <c r="T126" s="177" t="n">
        <f aca="false">T$3*$E126</f>
        <v>12.6488385617746</v>
      </c>
      <c r="U126" s="177" t="n">
        <f aca="false">U$3*$E126</f>
        <v>13.4954880415069</v>
      </c>
      <c r="V126" s="177" t="n">
        <f aca="false">V$3*$E126</f>
        <v>14.1699737437149</v>
      </c>
      <c r="W126" s="177" t="n">
        <f aca="false">W$3*$E126</f>
        <v>14.6628628214533</v>
      </c>
      <c r="X126" s="177" t="n">
        <f aca="false">X$3*$E126</f>
        <v>15.0007823202827</v>
      </c>
      <c r="Y126" s="177" t="n">
        <f aca="false">Y$3*$E126</f>
        <v>15.2224431362356</v>
      </c>
      <c r="Z126" s="177" t="n">
        <f aca="false">Z$3*$E126</f>
        <v>15.3636587182897</v>
      </c>
      <c r="AA126" s="177" t="n">
        <f aca="false">AA$3*$E126</f>
        <v>15.4519573928732</v>
      </c>
      <c r="AB126" s="177" t="n">
        <f aca="false">AB$3*$E126</f>
        <v>15.5065243091738</v>
      </c>
      <c r="AC126" s="177" t="n">
        <f aca="false">AC$3*$E126</f>
        <v>15.5400014335109</v>
      </c>
      <c r="AD126" s="219" t="n">
        <f aca="false">Algae_electricity_factor/H126</f>
        <v>0.00176288338696066</v>
      </c>
      <c r="AE126" s="220" t="n">
        <f aca="false">Algae_electricity_factor/I126</f>
        <v>0.00176288338696066</v>
      </c>
      <c r="AF126" s="220" t="n">
        <f aca="false">Algae_electricity_factor/J126</f>
        <v>0.00176288338696066</v>
      </c>
      <c r="AG126" s="220" t="n">
        <f aca="false">Algae_electricity_factor/K126</f>
        <v>0.00176288338696066</v>
      </c>
      <c r="AH126" s="220" t="n">
        <f aca="false">Algae_electricity_factor/L126</f>
        <v>0.00176288338696066</v>
      </c>
      <c r="AI126" s="220" t="n">
        <f aca="false">Algae_electricity_factor/M126</f>
        <v>0.00168306267021323</v>
      </c>
      <c r="AJ126" s="220" t="n">
        <f aca="false">Algae_electricity_factor/N126</f>
        <v>0.00163858343013746</v>
      </c>
      <c r="AK126" s="220" t="n">
        <f aca="false">Algae_electricity_factor/O126</f>
        <v>0.00157512400322863</v>
      </c>
      <c r="AL126" s="220" t="n">
        <f aca="false">Algae_electricity_factor/P126</f>
        <v>0.00149090437534344</v>
      </c>
      <c r="AM126" s="220" t="n">
        <f aca="false">Algae_electricity_factor/Q126</f>
        <v>0.00138925513603093</v>
      </c>
      <c r="AN126" s="220" t="n">
        <f aca="false">Algae_electricity_factor/R126</f>
        <v>0.00127973237153042</v>
      </c>
      <c r="AO126" s="220" t="n">
        <f aca="false">Algae_electricity_factor/S126</f>
        <v>0.0011752555913071</v>
      </c>
      <c r="AP126" s="220" t="n">
        <f aca="false">Algae_electricity_factor/T126</f>
        <v>0.00108655012366614</v>
      </c>
      <c r="AQ126" s="220" t="n">
        <f aca="false">Algae_electricity_factor/U126</f>
        <v>0.00101838459352187</v>
      </c>
      <c r="AR126" s="220" t="n">
        <f aca="false">Algae_electricity_factor/V126</f>
        <v>0.000969909849665406</v>
      </c>
      <c r="AS126" s="220" t="n">
        <f aca="false">Algae_electricity_factor/W126</f>
        <v>0.000937306532215586</v>
      </c>
      <c r="AT126" s="220" t="n">
        <f aca="false">Algae_electricity_factor/X126</f>
        <v>0.000916192023195109</v>
      </c>
      <c r="AU126" s="220" t="n">
        <f aca="false">Algae_electricity_factor/Y126</f>
        <v>0.000902850940583508</v>
      </c>
      <c r="AV126" s="220" t="n">
        <f aca="false">Algae_electricity_factor/Z126</f>
        <v>0.000894552356019738</v>
      </c>
      <c r="AW126" s="220" t="n">
        <f aca="false">Algae_electricity_factor/AA126</f>
        <v>0.000889440525500551</v>
      </c>
      <c r="AX126" s="220" t="n">
        <f aca="false">Algae_electricity_factor/AB126</f>
        <v>0.000886310615422595</v>
      </c>
      <c r="AY126" s="220" t="n">
        <f aca="false">Algae_electricity_factor/AC126</f>
        <v>0.000884401276430527</v>
      </c>
      <c r="AZ126" s="221" t="n">
        <f aca="false">Algae_yield_cost_factor/H126</f>
        <v>0.0975928502216406</v>
      </c>
      <c r="BA126" s="197" t="n">
        <f aca="false">Algae_yield_cost_factor/I126</f>
        <v>0.0975928502216406</v>
      </c>
      <c r="BB126" s="197" t="n">
        <f aca="false">Algae_yield_cost_factor/J126</f>
        <v>0.0975928502216406</v>
      </c>
      <c r="BC126" s="197" t="n">
        <f aca="false">Algae_yield_cost_factor/K126</f>
        <v>0.0975928502216406</v>
      </c>
      <c r="BD126" s="197" t="n">
        <f aca="false">Algae_yield_cost_factor/L126</f>
        <v>0.0975928502216406</v>
      </c>
      <c r="BE126" s="197" t="n">
        <f aca="false">Algae_yield_cost_factor/M126</f>
        <v>0.0931739922803072</v>
      </c>
      <c r="BF126" s="197" t="n">
        <f aca="false">Algae_yield_cost_factor/N126</f>
        <v>0.090711630988123</v>
      </c>
      <c r="BG126" s="197" t="n">
        <f aca="false">Algae_yield_cost_factor/O126</f>
        <v>0.0871985305804196</v>
      </c>
      <c r="BH126" s="197" t="n">
        <f aca="false">Algae_yield_cost_factor/P126</f>
        <v>0.0825361498519405</v>
      </c>
      <c r="BI126" s="197" t="n">
        <f aca="false">Algae_yield_cost_factor/Q126</f>
        <v>0.0769088695333752</v>
      </c>
      <c r="BJ126" s="197" t="n">
        <f aca="false">Algae_yield_cost_factor/R126</f>
        <v>0.0708457125311494</v>
      </c>
      <c r="BK126" s="197" t="n">
        <f aca="false">Algae_yield_cost_factor/S126</f>
        <v>0.0650619001477604</v>
      </c>
      <c r="BL126" s="197" t="n">
        <f aca="false">Algae_yield_cost_factor/T126</f>
        <v>0.0601511842822881</v>
      </c>
      <c r="BM126" s="197" t="n">
        <f aca="false">Algae_yield_cost_factor/U126</f>
        <v>0.056377554998097</v>
      </c>
      <c r="BN126" s="197" t="n">
        <f aca="false">Algae_yield_cost_factor/V126</f>
        <v>0.0536940034644518</v>
      </c>
      <c r="BO126" s="197" t="n">
        <f aca="false">Algae_yield_cost_factor/W126</f>
        <v>0.0518890907287917</v>
      </c>
      <c r="BP126" s="197" t="n">
        <f aca="false">Algae_yield_cost_factor/X126</f>
        <v>0.0507201959898767</v>
      </c>
      <c r="BQ126" s="197" t="n">
        <f aca="false">Algae_yield_cost_factor/Y126</f>
        <v>0.0499816364874509</v>
      </c>
      <c r="BR126" s="197" t="n">
        <f aca="false">Algae_yield_cost_factor/Z126</f>
        <v>0.0495222286069444</v>
      </c>
      <c r="BS126" s="197" t="n">
        <f aca="false">Algae_yield_cost_factor/AA126</f>
        <v>0.0492392387541229</v>
      </c>
      <c r="BT126" s="197" t="n">
        <f aca="false">Algae_yield_cost_factor/AB126</f>
        <v>0.0490659675963682</v>
      </c>
      <c r="BU126" s="197" t="n">
        <f aca="false">Algae_yield_cost_factor/AC126</f>
        <v>0.0489602669949254</v>
      </c>
    </row>
    <row r="127" customFormat="false" ht="15" hidden="false" customHeight="false" outlineLevel="0" collapsed="false">
      <c r="A127" s="18" t="s">
        <v>711</v>
      </c>
      <c r="B127" s="18" t="s">
        <v>22</v>
      </c>
      <c r="C127" s="18" t="s">
        <v>691</v>
      </c>
      <c r="D127" s="18" t="s">
        <v>691</v>
      </c>
      <c r="E127" s="28" t="n">
        <v>7.10390375</v>
      </c>
      <c r="F127" s="185" t="n">
        <f aca="false">E127/$B$2*$F$3/1000</f>
        <v>0.0174045641875</v>
      </c>
      <c r="G127" s="18" t="n">
        <f aca="false">LOOKUP(RIGHT(D127,5),Ref!$C$4:$C$21,Ref!$E$4:$E$21)*$G$3</f>
        <v>2</v>
      </c>
      <c r="H127" s="218" t="n">
        <f aca="false">$E127</f>
        <v>7.10390375</v>
      </c>
      <c r="I127" s="177" t="n">
        <f aca="false">$E127</f>
        <v>7.10390375</v>
      </c>
      <c r="J127" s="177" t="n">
        <f aca="false">$E127</f>
        <v>7.10390375</v>
      </c>
      <c r="K127" s="177" t="n">
        <f aca="false">$E127</f>
        <v>7.10390375</v>
      </c>
      <c r="L127" s="177" t="n">
        <f aca="false">$E127</f>
        <v>7.10390375</v>
      </c>
      <c r="M127" s="177" t="n">
        <f aca="false">M$3*$E127</f>
        <v>7.44081258831314</v>
      </c>
      <c r="N127" s="177" t="n">
        <f aca="false">N$3*$E127</f>
        <v>7.64279295952109</v>
      </c>
      <c r="O127" s="177" t="n">
        <f aca="false">O$3*$E127</f>
        <v>7.95070983476388</v>
      </c>
      <c r="P127" s="177" t="n">
        <f aca="false">P$3*$E127</f>
        <v>8.39983711266369</v>
      </c>
      <c r="Q127" s="177" t="n">
        <f aca="false">Q$3*$E127</f>
        <v>9.01443772180064</v>
      </c>
      <c r="R127" s="177" t="n">
        <f aca="false">R$3*$E127</f>
        <v>9.78591632285265</v>
      </c>
      <c r="S127" s="177" t="n">
        <f aca="false">S$3*$E127</f>
        <v>10.655855625</v>
      </c>
      <c r="T127" s="177" t="n">
        <f aca="false">T$3*$E127</f>
        <v>11.5257949271473</v>
      </c>
      <c r="U127" s="177" t="n">
        <f aca="false">U$3*$E127</f>
        <v>12.2972735281994</v>
      </c>
      <c r="V127" s="177" t="n">
        <f aca="false">V$3*$E127</f>
        <v>12.9118741373363</v>
      </c>
      <c r="W127" s="177" t="n">
        <f aca="false">W$3*$E127</f>
        <v>13.3610014152361</v>
      </c>
      <c r="X127" s="177" t="n">
        <f aca="false">X$3*$E127</f>
        <v>13.6689182904789</v>
      </c>
      <c r="Y127" s="177" t="n">
        <f aca="false">Y$3*$E127</f>
        <v>13.8708986616869</v>
      </c>
      <c r="Z127" s="177" t="n">
        <f aca="false">Z$3*$E127</f>
        <v>13.9995762340446</v>
      </c>
      <c r="AA127" s="177" t="n">
        <f aca="false">AA$3*$E127</f>
        <v>14.080035195602</v>
      </c>
      <c r="AB127" s="177" t="n">
        <f aca="false">AB$3*$E127</f>
        <v>14.1297573170455</v>
      </c>
      <c r="AC127" s="177" t="n">
        <f aca="false">AC$3*$E127</f>
        <v>14.1602621312208</v>
      </c>
      <c r="AD127" s="219" t="n">
        <f aca="false">Algae_electricity_factor/H127</f>
        <v>0.00193465418271317</v>
      </c>
      <c r="AE127" s="220" t="n">
        <f aca="false">Algae_electricity_factor/I127</f>
        <v>0.00193465418271317</v>
      </c>
      <c r="AF127" s="220" t="n">
        <f aca="false">Algae_electricity_factor/J127</f>
        <v>0.00193465418271317</v>
      </c>
      <c r="AG127" s="220" t="n">
        <f aca="false">Algae_electricity_factor/K127</f>
        <v>0.00193465418271317</v>
      </c>
      <c r="AH127" s="220" t="n">
        <f aca="false">Algae_electricity_factor/L127</f>
        <v>0.00193465418271317</v>
      </c>
      <c r="AI127" s="220" t="n">
        <f aca="false">Algae_electricity_factor/M127</f>
        <v>0.00184705594186252</v>
      </c>
      <c r="AJ127" s="220" t="n">
        <f aca="false">Algae_electricity_factor/N127</f>
        <v>0.00179824275972412</v>
      </c>
      <c r="AK127" s="220" t="n">
        <f aca="false">Algae_electricity_factor/O127</f>
        <v>0.00172860001045899</v>
      </c>
      <c r="AL127" s="220" t="n">
        <f aca="false">Algae_electricity_factor/P127</f>
        <v>0.00163617423995154</v>
      </c>
      <c r="AM127" s="220" t="n">
        <f aca="false">Algae_electricity_factor/Q127</f>
        <v>0.00152462056177853</v>
      </c>
      <c r="AN127" s="220" t="n">
        <f aca="false">Algae_electricity_factor/R127</f>
        <v>0.001404426182496</v>
      </c>
      <c r="AO127" s="220" t="n">
        <f aca="false">Algae_electricity_factor/S127</f>
        <v>0.00128976945514211</v>
      </c>
      <c r="AP127" s="220" t="n">
        <f aca="false">Algae_electricity_factor/T127</f>
        <v>0.00119242075626022</v>
      </c>
      <c r="AQ127" s="220" t="n">
        <f aca="false">Algae_electricity_factor/U127</f>
        <v>0.00111761335323747</v>
      </c>
      <c r="AR127" s="220" t="n">
        <f aca="false">Algae_electricity_factor/V127</f>
        <v>0.00106441535576837</v>
      </c>
      <c r="AS127" s="220" t="n">
        <f aca="false">Algae_electricity_factor/W127</f>
        <v>0.00102863525542755</v>
      </c>
      <c r="AT127" s="220" t="n">
        <f aca="false">Algae_electricity_factor/X127</f>
        <v>0.00100546340328206</v>
      </c>
      <c r="AU127" s="220" t="n">
        <f aca="false">Algae_electricity_factor/Y127</f>
        <v>0.000990822400100923</v>
      </c>
      <c r="AV127" s="220" t="n">
        <f aca="false">Algae_electricity_factor/Z127</f>
        <v>0.000981715222929904</v>
      </c>
      <c r="AW127" s="220" t="n">
        <f aca="false">Algae_electricity_factor/AA127</f>
        <v>0.000976105308871824</v>
      </c>
      <c r="AX127" s="220" t="n">
        <f aca="false">Algae_electricity_factor/AB127</f>
        <v>0.000972670428454536</v>
      </c>
      <c r="AY127" s="220" t="n">
        <f aca="false">Algae_electricity_factor/AC127</f>
        <v>0.000970575048411508</v>
      </c>
      <c r="AZ127" s="221" t="n">
        <f aca="false">Algae_yield_cost_factor/H127</f>
        <v>0.107102045025064</v>
      </c>
      <c r="BA127" s="197" t="n">
        <f aca="false">Algae_yield_cost_factor/I127</f>
        <v>0.107102045025064</v>
      </c>
      <c r="BB127" s="197" t="n">
        <f aca="false">Algae_yield_cost_factor/J127</f>
        <v>0.107102045025064</v>
      </c>
      <c r="BC127" s="197" t="n">
        <f aca="false">Algae_yield_cost_factor/K127</f>
        <v>0.107102045025064</v>
      </c>
      <c r="BD127" s="197" t="n">
        <f aca="false">Algae_yield_cost_factor/L127</f>
        <v>0.107102045025064</v>
      </c>
      <c r="BE127" s="197" t="n">
        <f aca="false">Algae_yield_cost_factor/M127</f>
        <v>0.102252624999752</v>
      </c>
      <c r="BF127" s="197" t="n">
        <f aca="false">Algae_yield_cost_factor/N127</f>
        <v>0.0995503375946342</v>
      </c>
      <c r="BG127" s="197" t="n">
        <f aca="false">Algae_yield_cost_factor/O127</f>
        <v>0.0956949297733758</v>
      </c>
      <c r="BH127" s="197" t="n">
        <f aca="false">Algae_yield_cost_factor/P127</f>
        <v>0.090578258730656</v>
      </c>
      <c r="BI127" s="197" t="n">
        <f aca="false">Algae_yield_cost_factor/Q127</f>
        <v>0.0844026707784764</v>
      </c>
      <c r="BJ127" s="197" t="n">
        <f aca="false">Algae_yield_cost_factor/R127</f>
        <v>0.0777487354464142</v>
      </c>
      <c r="BK127" s="197" t="n">
        <f aca="false">Algae_yield_cost_factor/S127</f>
        <v>0.0714013633500424</v>
      </c>
      <c r="BL127" s="197" t="n">
        <f aca="false">Algae_yield_cost_factor/T127</f>
        <v>0.0660121600371496</v>
      </c>
      <c r="BM127" s="197" t="n">
        <f aca="false">Algae_yield_cost_factor/U127</f>
        <v>0.0618708380797987</v>
      </c>
      <c r="BN127" s="197" t="n">
        <f aca="false">Algae_yield_cost_factor/V127</f>
        <v>0.0589258082284233</v>
      </c>
      <c r="BO127" s="197" t="n">
        <f aca="false">Algae_yield_cost_factor/W127</f>
        <v>0.0569450294660246</v>
      </c>
      <c r="BP127" s="197" t="n">
        <f aca="false">Algae_yield_cost_factor/X127</f>
        <v>0.055662240648273</v>
      </c>
      <c r="BQ127" s="197" t="n">
        <f aca="false">Algae_yield_cost_factor/Y127</f>
        <v>0.0548517178189586</v>
      </c>
      <c r="BR127" s="197" t="n">
        <f aca="false">Algae_yield_cost_factor/Z127</f>
        <v>0.0543475464232966</v>
      </c>
      <c r="BS127" s="197" t="n">
        <f aca="false">Algae_yield_cost_factor/AA127</f>
        <v>0.0540369827714544</v>
      </c>
      <c r="BT127" s="197" t="n">
        <f aca="false">Algae_yield_cost_factor/AB127</f>
        <v>0.0538468285204284</v>
      </c>
      <c r="BU127" s="197" t="n">
        <f aca="false">Algae_yield_cost_factor/AC127</f>
        <v>0.0537308287258821</v>
      </c>
    </row>
    <row r="128" customFormat="false" ht="15" hidden="false" customHeight="false" outlineLevel="0" collapsed="false">
      <c r="A128" s="18" t="s">
        <v>711</v>
      </c>
      <c r="B128" s="18" t="s">
        <v>22</v>
      </c>
      <c r="C128" s="18" t="s">
        <v>692</v>
      </c>
      <c r="D128" s="18" t="s">
        <v>692</v>
      </c>
      <c r="E128" s="28" t="n">
        <v>7.461695</v>
      </c>
      <c r="F128" s="185" t="n">
        <f aca="false">E128/$B$2*$F$3/1000</f>
        <v>0.01828115275</v>
      </c>
      <c r="G128" s="18" t="n">
        <f aca="false">LOOKUP(RIGHT(D128,5),Ref!$C$4:$C$21,Ref!$E$4:$E$21)*$G$3</f>
        <v>2.5</v>
      </c>
      <c r="H128" s="218" t="n">
        <f aca="false">$E128</f>
        <v>7.461695</v>
      </c>
      <c r="I128" s="177" t="n">
        <f aca="false">$E128</f>
        <v>7.461695</v>
      </c>
      <c r="J128" s="177" t="n">
        <f aca="false">$E128</f>
        <v>7.461695</v>
      </c>
      <c r="K128" s="177" t="n">
        <f aca="false">$E128</f>
        <v>7.461695</v>
      </c>
      <c r="L128" s="177" t="n">
        <f aca="false">$E128</f>
        <v>7.461695</v>
      </c>
      <c r="M128" s="177" t="n">
        <f aca="false">M$3*$E128</f>
        <v>7.81557240075968</v>
      </c>
      <c r="N128" s="177" t="n">
        <f aca="false">N$3*$E128</f>
        <v>8.02772560257361</v>
      </c>
      <c r="O128" s="177" t="n">
        <f aca="false">O$3*$E128</f>
        <v>8.35115084723782</v>
      </c>
      <c r="P128" s="177" t="n">
        <f aca="false">P$3*$E128</f>
        <v>8.82289861885827</v>
      </c>
      <c r="Q128" s="177" t="n">
        <f aca="false">Q$3*$E128</f>
        <v>9.46845385912939</v>
      </c>
      <c r="R128" s="177" t="n">
        <f aca="false">R$3*$E128</f>
        <v>10.2787883206678</v>
      </c>
      <c r="S128" s="177" t="n">
        <f aca="false">S$3*$E128</f>
        <v>11.1925425</v>
      </c>
      <c r="T128" s="177" t="n">
        <f aca="false">T$3*$E128</f>
        <v>12.1062966793322</v>
      </c>
      <c r="U128" s="177" t="n">
        <f aca="false">U$3*$E128</f>
        <v>12.9166311408706</v>
      </c>
      <c r="V128" s="177" t="n">
        <f aca="false">V$3*$E128</f>
        <v>13.5621863811417</v>
      </c>
      <c r="W128" s="177" t="n">
        <f aca="false">W$3*$E128</f>
        <v>14.0339341527622</v>
      </c>
      <c r="X128" s="177" t="n">
        <f aca="false">X$3*$E128</f>
        <v>14.3573593974264</v>
      </c>
      <c r="Y128" s="177" t="n">
        <f aca="false">Y$3*$E128</f>
        <v>14.5695125992403</v>
      </c>
      <c r="Z128" s="177" t="n">
        <f aca="false">Z$3*$E128</f>
        <v>14.7046710743638</v>
      </c>
      <c r="AA128" s="177" t="n">
        <f aca="false">AA$3*$E128</f>
        <v>14.7891823870569</v>
      </c>
      <c r="AB128" s="177" t="n">
        <f aca="false">AB$3*$E128</f>
        <v>14.841408785108</v>
      </c>
      <c r="AC128" s="177" t="n">
        <f aca="false">AC$3*$E128</f>
        <v>14.8734499877225</v>
      </c>
      <c r="AD128" s="219" t="n">
        <f aca="false">Algae_electricity_factor/H128</f>
        <v>0.00184188674336451</v>
      </c>
      <c r="AE128" s="220" t="n">
        <f aca="false">Algae_electricity_factor/I128</f>
        <v>0.00184188674336451</v>
      </c>
      <c r="AF128" s="220" t="n">
        <f aca="false">Algae_electricity_factor/J128</f>
        <v>0.00184188674336451</v>
      </c>
      <c r="AG128" s="220" t="n">
        <f aca="false">Algae_electricity_factor/K128</f>
        <v>0.00184188674336451</v>
      </c>
      <c r="AH128" s="220" t="n">
        <f aca="false">Algae_electricity_factor/L128</f>
        <v>0.00184188674336451</v>
      </c>
      <c r="AI128" s="220" t="n">
        <f aca="false">Algae_electricity_factor/M128</f>
        <v>0.0017584888730854</v>
      </c>
      <c r="AJ128" s="220" t="n">
        <f aca="false">Algae_electricity_factor/N128</f>
        <v>0.00171201630249086</v>
      </c>
      <c r="AK128" s="220" t="n">
        <f aca="false">Algae_electricity_factor/O128</f>
        <v>0.00164571295081743</v>
      </c>
      <c r="AL128" s="220" t="n">
        <f aca="false">Algae_electricity_factor/P128</f>
        <v>0.00155771903285315</v>
      </c>
      <c r="AM128" s="220" t="n">
        <f aca="false">Algae_electricity_factor/Q128</f>
        <v>0.00145151439802158</v>
      </c>
      <c r="AN128" s="220" t="n">
        <f aca="false">Algae_electricity_factor/R128</f>
        <v>0.00133708338714347</v>
      </c>
      <c r="AO128" s="220" t="n">
        <f aca="false">Algae_electricity_factor/S128</f>
        <v>0.00122792449557634</v>
      </c>
      <c r="AP128" s="220" t="n">
        <f aca="false">Algae_electricity_factor/T128</f>
        <v>0.00113524370561579</v>
      </c>
      <c r="AQ128" s="220" t="n">
        <f aca="false">Algae_electricity_factor/U128</f>
        <v>0.00106402334739141</v>
      </c>
      <c r="AR128" s="220" t="n">
        <f aca="false">Algae_electricity_factor/V128</f>
        <v>0.00101337621510937</v>
      </c>
      <c r="AS128" s="220" t="n">
        <f aca="false">Algae_electricity_factor/W128</f>
        <v>0.000979311784844325</v>
      </c>
      <c r="AT128" s="220" t="n">
        <f aca="false">Algae_electricity_factor/X128</f>
        <v>0.000957251032247117</v>
      </c>
      <c r="AU128" s="220" t="n">
        <f aca="false">Algae_electricity_factor/Y128</f>
        <v>0.000943312071005442</v>
      </c>
      <c r="AV128" s="220" t="n">
        <f aca="false">Algae_electricity_factor/Z128</f>
        <v>0.000934641586610527</v>
      </c>
      <c r="AW128" s="220" t="n">
        <f aca="false">Algae_electricity_factor/AA128</f>
        <v>0.000929300670168033</v>
      </c>
      <c r="AX128" s="220" t="n">
        <f aca="false">Algae_electricity_factor/AB128</f>
        <v>0.000926030493636136</v>
      </c>
      <c r="AY128" s="220" t="n">
        <f aca="false">Algae_electricity_factor/AC128</f>
        <v>0.000924035587901535</v>
      </c>
      <c r="AZ128" s="221" t="n">
        <f aca="false">Algae_yield_cost_factor/H128</f>
        <v>0.101966459267796</v>
      </c>
      <c r="BA128" s="197" t="n">
        <f aca="false">Algae_yield_cost_factor/I128</f>
        <v>0.101966459267796</v>
      </c>
      <c r="BB128" s="197" t="n">
        <f aca="false">Algae_yield_cost_factor/J128</f>
        <v>0.101966459267796</v>
      </c>
      <c r="BC128" s="197" t="n">
        <f aca="false">Algae_yield_cost_factor/K128</f>
        <v>0.101966459267796</v>
      </c>
      <c r="BD128" s="197" t="n">
        <f aca="false">Algae_yield_cost_factor/L128</f>
        <v>0.101966459267796</v>
      </c>
      <c r="BE128" s="197" t="n">
        <f aca="false">Algae_yield_cost_factor/M128</f>
        <v>0.097349570866014</v>
      </c>
      <c r="BF128" s="197" t="n">
        <f aca="false">Algae_yield_cost_factor/N128</f>
        <v>0.0947768592192911</v>
      </c>
      <c r="BG128" s="197" t="n">
        <f aca="false">Algae_yield_cost_factor/O128</f>
        <v>0.0911063197400954</v>
      </c>
      <c r="BH128" s="197" t="n">
        <f aca="false">Algae_yield_cost_factor/P128</f>
        <v>0.0862349951137345</v>
      </c>
      <c r="BI128" s="197" t="n">
        <f aca="false">Algae_yield_cost_factor/Q128</f>
        <v>0.0803555290658803</v>
      </c>
      <c r="BJ128" s="197" t="n">
        <f aca="false">Algae_yield_cost_factor/R128</f>
        <v>0.0740206525857114</v>
      </c>
      <c r="BK128" s="197" t="n">
        <f aca="false">Algae_yield_cost_factor/S128</f>
        <v>0.0679776395118641</v>
      </c>
      <c r="BL128" s="197" t="n">
        <f aca="false">Algae_yield_cost_factor/T128</f>
        <v>0.0628468506463354</v>
      </c>
      <c r="BM128" s="197" t="n">
        <f aca="false">Algae_yield_cost_factor/U128</f>
        <v>0.0589041067278581</v>
      </c>
      <c r="BN128" s="197" t="n">
        <f aca="false">Algae_yield_cost_factor/V128</f>
        <v>0.0561002922319496</v>
      </c>
      <c r="BO128" s="197" t="n">
        <f aca="false">Algae_yield_cost_factor/W128</f>
        <v>0.054214492600884</v>
      </c>
      <c r="BP128" s="197" t="n">
        <f aca="false">Algae_yield_cost_factor/X128</f>
        <v>0.0529932140183523</v>
      </c>
      <c r="BQ128" s="197" t="n">
        <f aca="false">Algae_yield_cost_factor/Y128</f>
        <v>0.0522215560818342</v>
      </c>
      <c r="BR128" s="197" t="n">
        <f aca="false">Algae_yield_cost_factor/Z128</f>
        <v>0.051741559905592</v>
      </c>
      <c r="BS128" s="197" t="n">
        <f aca="false">Algae_yield_cost_factor/AA128</f>
        <v>0.0514458879046678</v>
      </c>
      <c r="BT128" s="197" t="n">
        <f aca="false">Algae_yield_cost_factor/AB128</f>
        <v>0.0512648516257872</v>
      </c>
      <c r="BU128" s="197" t="n">
        <f aca="false">Algae_yield_cost_factor/AC128</f>
        <v>0.051154414067635</v>
      </c>
    </row>
    <row r="129" customFormat="false" ht="15" hidden="false" customHeight="false" outlineLevel="0" collapsed="false">
      <c r="A129" s="18" t="s">
        <v>711</v>
      </c>
      <c r="B129" s="18" t="s">
        <v>22</v>
      </c>
      <c r="C129" s="18" t="s">
        <v>693</v>
      </c>
      <c r="D129" s="18" t="s">
        <v>693</v>
      </c>
      <c r="E129" s="28" t="n">
        <v>7.6746725</v>
      </c>
      <c r="F129" s="185" t="n">
        <f aca="false">E129/$B$2*$F$3/1000</f>
        <v>0.018802947625</v>
      </c>
      <c r="G129" s="18" t="n">
        <f aca="false">LOOKUP(RIGHT(D129,5),Ref!$C$4:$C$21,Ref!$E$4:$E$21)*$G$3</f>
        <v>3</v>
      </c>
      <c r="H129" s="218" t="n">
        <f aca="false">$E129</f>
        <v>7.6746725</v>
      </c>
      <c r="I129" s="177" t="n">
        <f aca="false">$E129</f>
        <v>7.6746725</v>
      </c>
      <c r="J129" s="177" t="n">
        <f aca="false">$E129</f>
        <v>7.6746725</v>
      </c>
      <c r="K129" s="177" t="n">
        <f aca="false">$E129</f>
        <v>7.6746725</v>
      </c>
      <c r="L129" s="177" t="n">
        <f aca="false">$E129</f>
        <v>7.6746725</v>
      </c>
      <c r="M129" s="177" t="n">
        <f aca="false">M$3*$E129</f>
        <v>8.03865054466436</v>
      </c>
      <c r="N129" s="177" t="n">
        <f aca="false">N$3*$E129</f>
        <v>8.25685918810909</v>
      </c>
      <c r="O129" s="177" t="n">
        <f aca="false">O$3*$E129</f>
        <v>8.58951588756279</v>
      </c>
      <c r="P129" s="177" t="n">
        <f aca="false">P$3*$E129</f>
        <v>9.07472865085474</v>
      </c>
      <c r="Q129" s="177" t="n">
        <f aca="false">Q$3*$E129</f>
        <v>9.73870983069921</v>
      </c>
      <c r="R129" s="177" t="n">
        <f aca="false">R$3*$E129</f>
        <v>10.5721734884567</v>
      </c>
      <c r="S129" s="177" t="n">
        <f aca="false">S$3*$E129</f>
        <v>11.51200875</v>
      </c>
      <c r="T129" s="177" t="n">
        <f aca="false">T$3*$E129</f>
        <v>12.4518440115433</v>
      </c>
      <c r="U129" s="177" t="n">
        <f aca="false">U$3*$E129</f>
        <v>13.2853076693008</v>
      </c>
      <c r="V129" s="177" t="n">
        <f aca="false">V$3*$E129</f>
        <v>13.9492888491453</v>
      </c>
      <c r="W129" s="177" t="n">
        <f aca="false">W$3*$E129</f>
        <v>14.4345016124372</v>
      </c>
      <c r="X129" s="177" t="n">
        <f aca="false">X$3*$E129</f>
        <v>14.7671583118909</v>
      </c>
      <c r="Y129" s="177" t="n">
        <f aca="false">Y$3*$E129</f>
        <v>14.9853669553356</v>
      </c>
      <c r="Z129" s="177" t="n">
        <f aca="false">Z$3*$E129</f>
        <v>15.1243832287389</v>
      </c>
      <c r="AA129" s="177" t="n">
        <f aca="false">AA$3*$E129</f>
        <v>15.2113067290247</v>
      </c>
      <c r="AB129" s="177" t="n">
        <f aca="false">AB$3*$E129</f>
        <v>15.2650238135339</v>
      </c>
      <c r="AC129" s="177" t="n">
        <f aca="false">AC$3*$E129</f>
        <v>15.2979795610648</v>
      </c>
      <c r="AD129" s="219" t="n">
        <f aca="false">Algae_electricity_factor/H129</f>
        <v>0.00179077310511025</v>
      </c>
      <c r="AE129" s="220" t="n">
        <f aca="false">Algae_electricity_factor/I129</f>
        <v>0.00179077310511025</v>
      </c>
      <c r="AF129" s="220" t="n">
        <f aca="false">Algae_electricity_factor/J129</f>
        <v>0.00179077310511025</v>
      </c>
      <c r="AG129" s="220" t="n">
        <f aca="false">Algae_electricity_factor/K129</f>
        <v>0.00179077310511025</v>
      </c>
      <c r="AH129" s="220" t="n">
        <f aca="false">Algae_electricity_factor/L129</f>
        <v>0.00179077310511025</v>
      </c>
      <c r="AI129" s="220" t="n">
        <f aca="false">Algae_electricity_factor/M129</f>
        <v>0.00170968958373885</v>
      </c>
      <c r="AJ129" s="220" t="n">
        <f aca="false">Algae_electricity_factor/N129</f>
        <v>0.00166450665930234</v>
      </c>
      <c r="AK129" s="220" t="n">
        <f aca="false">Algae_electricity_factor/O129</f>
        <v>0.0016000432717552</v>
      </c>
      <c r="AL129" s="220" t="n">
        <f aca="false">Algae_electricity_factor/P129</f>
        <v>0.00151449124621867</v>
      </c>
      <c r="AM129" s="220" t="n">
        <f aca="false">Algae_electricity_factor/Q129</f>
        <v>0.0014112338638744</v>
      </c>
      <c r="AN129" s="220" t="n">
        <f aca="false">Algae_electricity_factor/R129</f>
        <v>0.00129997839314075</v>
      </c>
      <c r="AO129" s="220" t="n">
        <f aca="false">Algae_electricity_factor/S129</f>
        <v>0.00119384873674017</v>
      </c>
      <c r="AP129" s="220" t="n">
        <f aca="false">Algae_electricity_factor/T129</f>
        <v>0.00110373990316523</v>
      </c>
      <c r="AQ129" s="220" t="n">
        <f aca="false">Algae_electricity_factor/U129</f>
        <v>0.00103449595941895</v>
      </c>
      <c r="AR129" s="220" t="n">
        <f aca="false">Algae_electricity_factor/V129</f>
        <v>0.000985254320285395</v>
      </c>
      <c r="AS129" s="220" t="n">
        <f aca="false">Algae_electricity_factor/W129</f>
        <v>0.000952135201653749</v>
      </c>
      <c r="AT129" s="220" t="n">
        <f aca="false">Algae_electricity_factor/X129</f>
        <v>0.000930686650285488</v>
      </c>
      <c r="AU129" s="220" t="n">
        <f aca="false">Algae_electricity_factor/Y129</f>
        <v>0.000917134504913526</v>
      </c>
      <c r="AV129" s="220" t="n">
        <f aca="false">Algae_electricity_factor/Z129</f>
        <v>0.000908704632491332</v>
      </c>
      <c r="AW129" s="220" t="n">
        <f aca="false">Algae_electricity_factor/AA129</f>
        <v>0.000903511930194997</v>
      </c>
      <c r="AX129" s="220" t="n">
        <f aca="false">Algae_electricity_factor/AB129</f>
        <v>0.000900332503336434</v>
      </c>
      <c r="AY129" s="220" t="n">
        <f aca="false">Algae_electricity_factor/AC129</f>
        <v>0.000898392957623527</v>
      </c>
      <c r="AZ129" s="221" t="n">
        <f aca="false">Algae_yield_cost_factor/H129</f>
        <v>0.0991368191002571</v>
      </c>
      <c r="BA129" s="197" t="n">
        <f aca="false">Algae_yield_cost_factor/I129</f>
        <v>0.0991368191002571</v>
      </c>
      <c r="BB129" s="197" t="n">
        <f aca="false">Algae_yield_cost_factor/J129</f>
        <v>0.0991368191002571</v>
      </c>
      <c r="BC129" s="197" t="n">
        <f aca="false">Algae_yield_cost_factor/K129</f>
        <v>0.0991368191002571</v>
      </c>
      <c r="BD129" s="197" t="n">
        <f aca="false">Algae_yield_cost_factor/L129</f>
        <v>0.0991368191002571</v>
      </c>
      <c r="BE129" s="197" t="n">
        <f aca="false">Algae_yield_cost_factor/M129</f>
        <v>0.0946480525629051</v>
      </c>
      <c r="BF129" s="197" t="n">
        <f aca="false">Algae_yield_cost_factor/N129</f>
        <v>0.0921467354538305</v>
      </c>
      <c r="BG129" s="197" t="n">
        <f aca="false">Algae_yield_cost_factor/O129</f>
        <v>0.0885780559982294</v>
      </c>
      <c r="BH129" s="197" t="n">
        <f aca="false">Algae_yield_cost_factor/P129</f>
        <v>0.083841914018504</v>
      </c>
      <c r="BI129" s="197" t="n">
        <f aca="false">Algae_yield_cost_factor/Q129</f>
        <v>0.0781256072429454</v>
      </c>
      <c r="BJ129" s="197" t="n">
        <f aca="false">Algae_yield_cost_factor/R129</f>
        <v>0.0719665279913299</v>
      </c>
      <c r="BK129" s="197" t="n">
        <f aca="false">Algae_yield_cost_factor/S129</f>
        <v>0.0660912127335047</v>
      </c>
      <c r="BL129" s="197" t="n">
        <f aca="false">Algae_yield_cost_factor/T129</f>
        <v>0.061102806827719</v>
      </c>
      <c r="BM129" s="197" t="n">
        <f aca="false">Algae_yield_cost_factor/U129</f>
        <v>0.0572694767953584</v>
      </c>
      <c r="BN129" s="197" t="n">
        <f aca="false">Algae_yield_cost_factor/V129</f>
        <v>0.0545434701019069</v>
      </c>
      <c r="BO129" s="197" t="n">
        <f aca="false">Algae_yield_cost_factor/W129</f>
        <v>0.0527100027222729</v>
      </c>
      <c r="BP129" s="197" t="n">
        <f aca="false">Algae_yield_cost_factor/X129</f>
        <v>0.0515226154698678</v>
      </c>
      <c r="BQ129" s="197" t="n">
        <f aca="false">Algae_yield_cost_factor/Y129</f>
        <v>0.0507723715778154</v>
      </c>
      <c r="BR129" s="197" t="n">
        <f aca="false">Algae_yield_cost_factor/Z129</f>
        <v>0.0503056956293257</v>
      </c>
      <c r="BS129" s="197" t="n">
        <f aca="false">Algae_yield_cost_factor/AA129</f>
        <v>0.0500182287320821</v>
      </c>
      <c r="BT129" s="197" t="n">
        <f aca="false">Algae_yield_cost_factor/AB129</f>
        <v>0.0498422163358604</v>
      </c>
      <c r="BU129" s="197" t="n">
        <f aca="false">Algae_yield_cost_factor/AC129</f>
        <v>0.0497348434967618</v>
      </c>
    </row>
    <row r="130" customFormat="false" ht="15" hidden="false" customHeight="false" outlineLevel="0" collapsed="false">
      <c r="A130" s="18" t="s">
        <v>711</v>
      </c>
      <c r="B130" s="18" t="s">
        <v>22</v>
      </c>
      <c r="C130" s="18" t="s">
        <v>694</v>
      </c>
      <c r="D130" s="18" t="s">
        <v>694</v>
      </c>
      <c r="E130" s="28" t="n">
        <v>7.07247725</v>
      </c>
      <c r="F130" s="185" t="n">
        <f aca="false">E130/$B$2*$F$3/1000</f>
        <v>0.0173275692625</v>
      </c>
      <c r="G130" s="18" t="n">
        <f aca="false">LOOKUP(RIGHT(D130,5),Ref!$C$4:$C$21,Ref!$E$4:$E$21)*$G$3</f>
        <v>3</v>
      </c>
      <c r="H130" s="218" t="n">
        <f aca="false">$E130</f>
        <v>7.07247725</v>
      </c>
      <c r="I130" s="177" t="n">
        <f aca="false">$E130</f>
        <v>7.07247725</v>
      </c>
      <c r="J130" s="177" t="n">
        <f aca="false">$E130</f>
        <v>7.07247725</v>
      </c>
      <c r="K130" s="177" t="n">
        <f aca="false">$E130</f>
        <v>7.07247725</v>
      </c>
      <c r="L130" s="177" t="n">
        <f aca="false">$E130</f>
        <v>7.07247725</v>
      </c>
      <c r="M130" s="177" t="n">
        <f aca="false">M$3*$E130</f>
        <v>7.40789565910973</v>
      </c>
      <c r="N130" s="177" t="n">
        <f aca="false">N$3*$E130</f>
        <v>7.60898250242665</v>
      </c>
      <c r="O130" s="177" t="n">
        <f aca="false">O$3*$E130</f>
        <v>7.91553720413495</v>
      </c>
      <c r="P130" s="177" t="n">
        <f aca="false">P$3*$E130</f>
        <v>8.36267761693979</v>
      </c>
      <c r="Q130" s="177" t="n">
        <f aca="false">Q$3*$E130</f>
        <v>8.97455933422196</v>
      </c>
      <c r="R130" s="177" t="n">
        <f aca="false">R$3*$E130</f>
        <v>9.74262504102467</v>
      </c>
      <c r="S130" s="177" t="n">
        <f aca="false">S$3*$E130</f>
        <v>10.608715875</v>
      </c>
      <c r="T130" s="177" t="n">
        <f aca="false">T$3*$E130</f>
        <v>11.4748067089753</v>
      </c>
      <c r="U130" s="177" t="n">
        <f aca="false">U$3*$E130</f>
        <v>12.242872415778</v>
      </c>
      <c r="V130" s="177" t="n">
        <f aca="false">V$3*$E130</f>
        <v>12.8547541330602</v>
      </c>
      <c r="W130" s="177" t="n">
        <f aca="false">W$3*$E130</f>
        <v>13.301894545865</v>
      </c>
      <c r="X130" s="177" t="n">
        <f aca="false">X$3*$E130</f>
        <v>13.6084492475734</v>
      </c>
      <c r="Y130" s="177" t="n">
        <f aca="false">Y$3*$E130</f>
        <v>13.8095360908903</v>
      </c>
      <c r="Z130" s="177" t="n">
        <f aca="false">Z$3*$E130</f>
        <v>13.9376444148643</v>
      </c>
      <c r="AA130" s="177" t="n">
        <f aca="false">AA$3*$E130</f>
        <v>14.0177474392294</v>
      </c>
      <c r="AB130" s="177" t="n">
        <f aca="false">AB$3*$E130</f>
        <v>14.0672495981981</v>
      </c>
      <c r="AC130" s="177" t="n">
        <f aca="false">AC$3*$E130</f>
        <v>14.0976194641004</v>
      </c>
      <c r="AD130" s="219" t="n">
        <f aca="false">Algae_electricity_factor/H130</f>
        <v>0.00194325080416897</v>
      </c>
      <c r="AE130" s="220" t="n">
        <f aca="false">Algae_electricity_factor/I130</f>
        <v>0.00194325080416897</v>
      </c>
      <c r="AF130" s="220" t="n">
        <f aca="false">Algae_electricity_factor/J130</f>
        <v>0.00194325080416897</v>
      </c>
      <c r="AG130" s="220" t="n">
        <f aca="false">Algae_electricity_factor/K130</f>
        <v>0.00194325080416897</v>
      </c>
      <c r="AH130" s="220" t="n">
        <f aca="false">Algae_electricity_factor/L130</f>
        <v>0.00194325080416897</v>
      </c>
      <c r="AI130" s="220" t="n">
        <f aca="false">Algae_electricity_factor/M130</f>
        <v>0.00185526332118735</v>
      </c>
      <c r="AJ130" s="220" t="n">
        <f aca="false">Algae_electricity_factor/N130</f>
        <v>0.00180623323803756</v>
      </c>
      <c r="AK130" s="220" t="n">
        <f aca="false">Algae_electricity_factor/O130</f>
        <v>0.00173628103173463</v>
      </c>
      <c r="AL130" s="220" t="n">
        <f aca="false">Algae_electricity_factor/P130</f>
        <v>0.00164344456800411</v>
      </c>
      <c r="AM130" s="220" t="n">
        <f aca="false">Algae_electricity_factor/Q130</f>
        <v>0.00153139520189275</v>
      </c>
      <c r="AN130" s="220" t="n">
        <f aca="false">Algae_electricity_factor/R130</f>
        <v>0.00141066673978082</v>
      </c>
      <c r="AO130" s="220" t="n">
        <f aca="false">Algae_electricity_factor/S130</f>
        <v>0.00129550053611265</v>
      </c>
      <c r="AP130" s="220" t="n">
        <f aca="false">Algae_electricity_factor/T130</f>
        <v>0.00119771926901212</v>
      </c>
      <c r="AQ130" s="220" t="n">
        <f aca="false">Algae_electricity_factor/U130</f>
        <v>0.00112257945985104</v>
      </c>
      <c r="AR130" s="220" t="n">
        <f aca="false">Algae_electricity_factor/V130</f>
        <v>0.00106914507747629</v>
      </c>
      <c r="AS130" s="220" t="n">
        <f aca="false">Algae_electricity_factor/W130</f>
        <v>0.00103320598852601</v>
      </c>
      <c r="AT130" s="220" t="n">
        <f aca="false">Algae_electricity_factor/X130</f>
        <v>0.00100993117242804</v>
      </c>
      <c r="AU130" s="220" t="n">
        <f aca="false">Algae_electricity_factor/Y130</f>
        <v>0.000995225112058289</v>
      </c>
      <c r="AV130" s="220" t="n">
        <f aca="false">Algae_electricity_factor/Z130</f>
        <v>0.000986077467213321</v>
      </c>
      <c r="AW130" s="220" t="n">
        <f aca="false">Algae_electricity_factor/AA130</f>
        <v>0.000980442625543894</v>
      </c>
      <c r="AX130" s="220" t="n">
        <f aca="false">Algae_electricity_factor/AB130</f>
        <v>0.000976992482261047</v>
      </c>
      <c r="AY130" s="220" t="n">
        <f aca="false">Algae_electricity_factor/AC130</f>
        <v>0.0009748877914124</v>
      </c>
      <c r="AZ130" s="221" t="n">
        <f aca="false">Algae_yield_cost_factor/H130</f>
        <v>0.10757795216467</v>
      </c>
      <c r="BA130" s="197" t="n">
        <f aca="false">Algae_yield_cost_factor/I130</f>
        <v>0.10757795216467</v>
      </c>
      <c r="BB130" s="197" t="n">
        <f aca="false">Algae_yield_cost_factor/J130</f>
        <v>0.10757795216467</v>
      </c>
      <c r="BC130" s="197" t="n">
        <f aca="false">Algae_yield_cost_factor/K130</f>
        <v>0.10757795216467</v>
      </c>
      <c r="BD130" s="197" t="n">
        <f aca="false">Algae_yield_cost_factor/L130</f>
        <v>0.10757795216467</v>
      </c>
      <c r="BE130" s="197" t="n">
        <f aca="false">Algae_yield_cost_factor/M130</f>
        <v>0.102706983777584</v>
      </c>
      <c r="BF130" s="197" t="n">
        <f aca="false">Algae_yield_cost_factor/N130</f>
        <v>0.0999926887785023</v>
      </c>
      <c r="BG130" s="197" t="n">
        <f aca="false">Algae_yield_cost_factor/O130</f>
        <v>0.0961201494812968</v>
      </c>
      <c r="BH130" s="197" t="n">
        <f aca="false">Algae_yield_cost_factor/P130</f>
        <v>0.0909807425488964</v>
      </c>
      <c r="BI130" s="197" t="n">
        <f aca="false">Algae_yield_cost_factor/Q130</f>
        <v>0.0847777134176336</v>
      </c>
      <c r="BJ130" s="197" t="n">
        <f aca="false">Algae_yield_cost_factor/R130</f>
        <v>0.0780942113734675</v>
      </c>
      <c r="BK130" s="197" t="n">
        <f aca="false">Algae_yield_cost_factor/S130</f>
        <v>0.0717186347764467</v>
      </c>
      <c r="BL130" s="197" t="n">
        <f aca="false">Algae_yield_cost_factor/T130</f>
        <v>0.0663054845787602</v>
      </c>
      <c r="BM130" s="197" t="n">
        <f aca="false">Algae_yield_cost_factor/U130</f>
        <v>0.0621457606881273</v>
      </c>
      <c r="BN130" s="197" t="n">
        <f aca="false">Algae_yield_cost_factor/V130</f>
        <v>0.0591876446185355</v>
      </c>
      <c r="BO130" s="197" t="n">
        <f aca="false">Algae_yield_cost_factor/W130</f>
        <v>0.0571980642804546</v>
      </c>
      <c r="BP130" s="197" t="n">
        <f aca="false">Algae_yield_cost_factor/X130</f>
        <v>0.0559095754001427</v>
      </c>
      <c r="BQ130" s="197" t="n">
        <f aca="false">Algae_yield_cost_factor/Y130</f>
        <v>0.0550954510186712</v>
      </c>
      <c r="BR130" s="197" t="n">
        <f aca="false">Algae_yield_cost_factor/Z130</f>
        <v>0.0545890393411666</v>
      </c>
      <c r="BS130" s="197" t="n">
        <f aca="false">Algae_yield_cost_factor/AA130</f>
        <v>0.0542770957020499</v>
      </c>
      <c r="BT130" s="197" t="n">
        <f aca="false">Algae_yield_cost_factor/AB130</f>
        <v>0.0540860965020253</v>
      </c>
      <c r="BU130" s="197" t="n">
        <f aca="false">Algae_yield_cost_factor/AC130</f>
        <v>0.0539695812632556</v>
      </c>
    </row>
    <row r="131" customFormat="false" ht="15" hidden="false" customHeight="false" outlineLevel="0" collapsed="false">
      <c r="A131" s="18" t="s">
        <v>711</v>
      </c>
      <c r="B131" s="18" t="s">
        <v>22</v>
      </c>
      <c r="C131" s="18" t="s">
        <v>682</v>
      </c>
      <c r="D131" s="18" t="s">
        <v>682</v>
      </c>
      <c r="E131" s="28" t="n">
        <v>6.127985</v>
      </c>
      <c r="F131" s="185" t="n">
        <f aca="false">E131/$B$2*$F$3/1000</f>
        <v>0.01501356325</v>
      </c>
      <c r="G131" s="18" t="n">
        <f aca="false">LOOKUP(RIGHT(D131,5),Ref!$C$4:$C$21,Ref!$E$4:$E$21)*$G$3</f>
        <v>3</v>
      </c>
      <c r="H131" s="218" t="n">
        <f aca="false">$E131</f>
        <v>6.127985</v>
      </c>
      <c r="I131" s="177" t="n">
        <f aca="false">$E131</f>
        <v>6.127985</v>
      </c>
      <c r="J131" s="177" t="n">
        <f aca="false">$E131</f>
        <v>6.127985</v>
      </c>
      <c r="K131" s="177" t="n">
        <f aca="false">$E131</f>
        <v>6.127985</v>
      </c>
      <c r="L131" s="177" t="n">
        <f aca="false">$E131</f>
        <v>6.127985</v>
      </c>
      <c r="M131" s="177" t="n">
        <f aca="false">M$3*$E131</f>
        <v>6.41861003944403</v>
      </c>
      <c r="N131" s="177" t="n">
        <f aca="false">N$3*$E131</f>
        <v>6.59284278929748</v>
      </c>
      <c r="O131" s="177" t="n">
        <f aca="false">O$3*$E131</f>
        <v>6.85845871810771</v>
      </c>
      <c r="P131" s="177" t="n">
        <f aca="false">P$3*$E131</f>
        <v>7.2458858735025</v>
      </c>
      <c r="Q131" s="177" t="n">
        <f aca="false">Q$3*$E131</f>
        <v>7.77605399603401</v>
      </c>
      <c r="R131" s="177" t="n">
        <f aca="false">R$3*$E131</f>
        <v>8.441548555285</v>
      </c>
      <c r="S131" s="177" t="n">
        <f aca="false">S$3*$E131</f>
        <v>9.1919775</v>
      </c>
      <c r="T131" s="177" t="n">
        <f aca="false">T$3*$E131</f>
        <v>9.942406444715</v>
      </c>
      <c r="U131" s="177" t="n">
        <f aca="false">U$3*$E131</f>
        <v>10.607901003966</v>
      </c>
      <c r="V131" s="177" t="n">
        <f aca="false">V$3*$E131</f>
        <v>11.1380691264975</v>
      </c>
      <c r="W131" s="177" t="n">
        <f aca="false">W$3*$E131</f>
        <v>11.5254962818923</v>
      </c>
      <c r="X131" s="177" t="n">
        <f aca="false">X$3*$E131</f>
        <v>11.7911122107025</v>
      </c>
      <c r="Y131" s="177" t="n">
        <f aca="false">Y$3*$E131</f>
        <v>11.965344960556</v>
      </c>
      <c r="Z131" s="177" t="n">
        <f aca="false">Z$3*$E131</f>
        <v>12.0763450896391</v>
      </c>
      <c r="AA131" s="177" t="n">
        <f aca="false">AA$3*$E131</f>
        <v>12.1457507751455</v>
      </c>
      <c r="AB131" s="177" t="n">
        <f aca="false">AB$3*$E131</f>
        <v>12.1886421803639</v>
      </c>
      <c r="AC131" s="177" t="n">
        <f aca="false">AC$3*$E131</f>
        <v>12.2149563099287</v>
      </c>
      <c r="AD131" s="219" t="n">
        <f aca="false">Algae_electricity_factor/H131</f>
        <v>0.00224275958631251</v>
      </c>
      <c r="AE131" s="220" t="n">
        <f aca="false">Algae_electricity_factor/I131</f>
        <v>0.00224275958631251</v>
      </c>
      <c r="AF131" s="220" t="n">
        <f aca="false">Algae_electricity_factor/J131</f>
        <v>0.00224275958631251</v>
      </c>
      <c r="AG131" s="220" t="n">
        <f aca="false">Algae_electricity_factor/K131</f>
        <v>0.00224275958631251</v>
      </c>
      <c r="AH131" s="220" t="n">
        <f aca="false">Algae_electricity_factor/L131</f>
        <v>0.00224275958631251</v>
      </c>
      <c r="AI131" s="220" t="n">
        <f aca="false">Algae_electricity_factor/M131</f>
        <v>0.00214121079471588</v>
      </c>
      <c r="AJ131" s="220" t="n">
        <f aca="false">Algae_electricity_factor/N131</f>
        <v>0.00208462381748887</v>
      </c>
      <c r="AK131" s="220" t="n">
        <f aca="false">Algae_electricity_factor/O131</f>
        <v>0.00200389003833229</v>
      </c>
      <c r="AL131" s="220" t="n">
        <f aca="false">Algae_electricity_factor/P131</f>
        <v>0.00189674490372368</v>
      </c>
      <c r="AM131" s="220" t="n">
        <f aca="false">Algae_electricity_factor/Q131</f>
        <v>0.00176742562622879</v>
      </c>
      <c r="AN131" s="220" t="n">
        <f aca="false">Algae_electricity_factor/R131</f>
        <v>0.00162808956360558</v>
      </c>
      <c r="AO131" s="220" t="n">
        <f aca="false">Algae_electricity_factor/S131</f>
        <v>0.00149517305754167</v>
      </c>
      <c r="AP131" s="220" t="n">
        <f aca="false">Algae_electricity_factor/T131</f>
        <v>0.00138232098837951</v>
      </c>
      <c r="AQ131" s="220" t="n">
        <f aca="false">Algae_electricity_factor/U131</f>
        <v>0.00129560005305394</v>
      </c>
      <c r="AR131" s="220" t="n">
        <f aca="false">Algae_electricity_factor/V131</f>
        <v>0.00123392995208058</v>
      </c>
      <c r="AS131" s="220" t="n">
        <f aca="false">Algae_electricity_factor/W131</f>
        <v>0.00119245165391462</v>
      </c>
      <c r="AT131" s="220" t="n">
        <f aca="false">Algae_electricity_factor/X131</f>
        <v>0.00116558954388158</v>
      </c>
      <c r="AU131" s="220" t="n">
        <f aca="false">Algae_electricity_factor/Y131</f>
        <v>0.00114861687221182</v>
      </c>
      <c r="AV131" s="220" t="n">
        <f aca="false">Algae_electricity_factor/Z131</f>
        <v>0.00113805932188212</v>
      </c>
      <c r="AW131" s="220" t="n">
        <f aca="false">Algae_electricity_factor/AA131</f>
        <v>0.00113155599501132</v>
      </c>
      <c r="AX131" s="220" t="n">
        <f aca="false">Algae_electricity_factor/AB131</f>
        <v>0.00112757408907043</v>
      </c>
      <c r="AY131" s="220" t="n">
        <f aca="false">Algae_electricity_factor/AC131</f>
        <v>0.00112514500705647</v>
      </c>
      <c r="AZ131" s="221" t="n">
        <f aca="false">Algae_yield_cost_factor/H131</f>
        <v>0.124158694788942</v>
      </c>
      <c r="BA131" s="197" t="n">
        <f aca="false">Algae_yield_cost_factor/I131</f>
        <v>0.124158694788942</v>
      </c>
      <c r="BB131" s="197" t="n">
        <f aca="false">Algae_yield_cost_factor/J131</f>
        <v>0.124158694788942</v>
      </c>
      <c r="BC131" s="197" t="n">
        <f aca="false">Algae_yield_cost_factor/K131</f>
        <v>0.124158694788942</v>
      </c>
      <c r="BD131" s="197" t="n">
        <f aca="false">Algae_yield_cost_factor/L131</f>
        <v>0.124158694788942</v>
      </c>
      <c r="BE131" s="197" t="n">
        <f aca="false">Algae_yield_cost_factor/M131</f>
        <v>0.118536975234613</v>
      </c>
      <c r="BF131" s="197" t="n">
        <f aca="false">Algae_yield_cost_factor/N131</f>
        <v>0.115404332182975</v>
      </c>
      <c r="BG131" s="197" t="n">
        <f aca="false">Algae_yield_cost_factor/O131</f>
        <v>0.110934927300421</v>
      </c>
      <c r="BH131" s="197" t="n">
        <f aca="false">Algae_yield_cost_factor/P131</f>
        <v>0.105003395384482</v>
      </c>
      <c r="BI131" s="197" t="n">
        <f aca="false">Algae_yield_cost_factor/Q131</f>
        <v>0.0978443076236697</v>
      </c>
      <c r="BJ131" s="197" t="n">
        <f aca="false">Algae_yield_cost_factor/R131</f>
        <v>0.0901306927636964</v>
      </c>
      <c r="BK131" s="197" t="n">
        <f aca="false">Algae_yield_cost_factor/S131</f>
        <v>0.0827724631926283</v>
      </c>
      <c r="BL131" s="197" t="n">
        <f aca="false">Algae_yield_cost_factor/T131</f>
        <v>0.0765249965908055</v>
      </c>
      <c r="BM131" s="197" t="n">
        <f aca="false">Algae_yield_cost_factor/U131</f>
        <v>0.0717241440131993</v>
      </c>
      <c r="BN131" s="197" t="n">
        <f aca="false">Algae_yield_cost_factor/V131</f>
        <v>0.0683101003095923</v>
      </c>
      <c r="BO131" s="197" t="n">
        <f aca="false">Algae_yield_cost_factor/W131</f>
        <v>0.0660138705247407</v>
      </c>
      <c r="BP131" s="197" t="n">
        <f aca="false">Algae_yield_cost_factor/X131</f>
        <v>0.0645267898134002</v>
      </c>
      <c r="BQ131" s="197" t="n">
        <f aca="false">Algae_yield_cost_factor/Y131</f>
        <v>0.063587186311331</v>
      </c>
      <c r="BR131" s="197" t="n">
        <f aca="false">Algae_yield_cost_factor/Z131</f>
        <v>0.0630027225653712</v>
      </c>
      <c r="BS131" s="197" t="n">
        <f aca="false">Algae_yield_cost_factor/AA131</f>
        <v>0.0626426997697972</v>
      </c>
      <c r="BT131" s="197" t="n">
        <f aca="false">Algae_yield_cost_factor/AB131</f>
        <v>0.0624222623018625</v>
      </c>
      <c r="BU131" s="197" t="n">
        <f aca="false">Algae_yield_cost_factor/AC131</f>
        <v>0.062287788837016</v>
      </c>
    </row>
    <row r="132" customFormat="false" ht="15" hidden="false" customHeight="false" outlineLevel="0" collapsed="false">
      <c r="A132" s="18" t="s">
        <v>711</v>
      </c>
      <c r="B132" s="18" t="s">
        <v>22</v>
      </c>
      <c r="C132" s="18" t="s">
        <v>683</v>
      </c>
      <c r="D132" s="18" t="s">
        <v>683</v>
      </c>
      <c r="E132" s="28" t="n">
        <v>7.383585</v>
      </c>
      <c r="F132" s="185" t="n">
        <f aca="false">E132/$B$2*$F$3/1000</f>
        <v>0.01808978325</v>
      </c>
      <c r="G132" s="18" t="n">
        <f aca="false">LOOKUP(RIGHT(D132,5),Ref!$C$4:$C$21,Ref!$E$4:$E$21)*$G$3</f>
        <v>3</v>
      </c>
      <c r="H132" s="218" t="n">
        <f aca="false">$E132</f>
        <v>7.383585</v>
      </c>
      <c r="I132" s="177" t="n">
        <f aca="false">$E132</f>
        <v>7.383585</v>
      </c>
      <c r="J132" s="177" t="n">
        <f aca="false">$E132</f>
        <v>7.383585</v>
      </c>
      <c r="K132" s="177" t="n">
        <f aca="false">$E132</f>
        <v>7.383585</v>
      </c>
      <c r="L132" s="177" t="n">
        <f aca="false">$E132</f>
        <v>7.383585</v>
      </c>
      <c r="M132" s="177" t="n">
        <f aca="false">M$3*$E132</f>
        <v>7.73375796580578</v>
      </c>
      <c r="N132" s="177" t="n">
        <f aca="false">N$3*$E132</f>
        <v>7.94369032013215</v>
      </c>
      <c r="O132" s="177" t="n">
        <f aca="false">O$3*$E132</f>
        <v>8.26372990699868</v>
      </c>
      <c r="P132" s="177" t="n">
        <f aca="false">P$3*$E132</f>
        <v>8.73053936119376</v>
      </c>
      <c r="Q132" s="177" t="n">
        <f aca="false">Q$3*$E132</f>
        <v>9.36933684470618</v>
      </c>
      <c r="R132" s="177" t="n">
        <f aca="false">R$3*$E132</f>
        <v>10.171188619028</v>
      </c>
      <c r="S132" s="177" t="n">
        <f aca="false">S$3*$E132</f>
        <v>11.0753775</v>
      </c>
      <c r="T132" s="177" t="n">
        <f aca="false">T$3*$E132</f>
        <v>11.979566380972</v>
      </c>
      <c r="U132" s="177" t="n">
        <f aca="false">U$3*$E132</f>
        <v>12.7814181552938</v>
      </c>
      <c r="V132" s="177" t="n">
        <f aca="false">V$3*$E132</f>
        <v>13.4202156388062</v>
      </c>
      <c r="W132" s="177" t="n">
        <f aca="false">W$3*$E132</f>
        <v>13.8870250930013</v>
      </c>
      <c r="X132" s="177" t="n">
        <f aca="false">X$3*$E132</f>
        <v>14.2070646798678</v>
      </c>
      <c r="Y132" s="177" t="n">
        <f aca="false">Y$3*$E132</f>
        <v>14.4169970341942</v>
      </c>
      <c r="Z132" s="177" t="n">
        <f aca="false">Z$3*$E132</f>
        <v>14.5507406527077</v>
      </c>
      <c r="AA132" s="177" t="n">
        <f aca="false">AA$3*$E132</f>
        <v>14.6343672899171</v>
      </c>
      <c r="AB132" s="177" t="n">
        <f aca="false">AB$3*$E132</f>
        <v>14.6860469751969</v>
      </c>
      <c r="AC132" s="177" t="n">
        <f aca="false">AC$3*$E132</f>
        <v>14.7177527663082</v>
      </c>
      <c r="AD132" s="219" t="n">
        <f aca="false">Algae_electricity_factor/H132</f>
        <v>0.00186137182730737</v>
      </c>
      <c r="AE132" s="220" t="n">
        <f aca="false">Algae_electricity_factor/I132</f>
        <v>0.00186137182730737</v>
      </c>
      <c r="AF132" s="220" t="n">
        <f aca="false">Algae_electricity_factor/J132</f>
        <v>0.00186137182730737</v>
      </c>
      <c r="AG132" s="220" t="n">
        <f aca="false">Algae_electricity_factor/K132</f>
        <v>0.00186137182730737</v>
      </c>
      <c r="AH132" s="220" t="n">
        <f aca="false">Algae_electricity_factor/L132</f>
        <v>0.00186137182730737</v>
      </c>
      <c r="AI132" s="220" t="n">
        <f aca="false">Algae_electricity_factor/M132</f>
        <v>0.00177709170164046</v>
      </c>
      <c r="AJ132" s="220" t="n">
        <f aca="false">Algae_electricity_factor/N132</f>
        <v>0.00173012750367396</v>
      </c>
      <c r="AK132" s="220" t="n">
        <f aca="false">Algae_electricity_factor/O132</f>
        <v>0.00166312273733555</v>
      </c>
      <c r="AL132" s="220" t="n">
        <f aca="false">Algae_electricity_factor/P132</f>
        <v>0.00157419794298368</v>
      </c>
      <c r="AM132" s="220" t="n">
        <f aca="false">Algae_electricity_factor/Q132</f>
        <v>0.00146686978292328</v>
      </c>
      <c r="AN132" s="220" t="n">
        <f aca="false">Algae_electricity_factor/R132</f>
        <v>0.00135122822103782</v>
      </c>
      <c r="AO132" s="220" t="n">
        <f aca="false">Algae_electricity_factor/S132</f>
        <v>0.00124091455153824</v>
      </c>
      <c r="AP132" s="220" t="n">
        <f aca="false">Algae_electricity_factor/T132</f>
        <v>0.00114725330337158</v>
      </c>
      <c r="AQ132" s="220" t="n">
        <f aca="false">Algae_electricity_factor/U132</f>
        <v>0.00107527951409969</v>
      </c>
      <c r="AR132" s="220" t="n">
        <f aca="false">Algae_electricity_factor/V132</f>
        <v>0.0010240965922923</v>
      </c>
      <c r="AS132" s="220" t="n">
        <f aca="false">Algae_electricity_factor/W132</f>
        <v>0.000989671798782567</v>
      </c>
      <c r="AT132" s="220" t="n">
        <f aca="false">Algae_electricity_factor/X132</f>
        <v>0.00096737766830925</v>
      </c>
      <c r="AU132" s="220" t="n">
        <f aca="false">Algae_electricity_factor/Y132</f>
        <v>0.000953291248581949</v>
      </c>
      <c r="AV132" s="220" t="n">
        <f aca="false">Algae_electricity_factor/Z132</f>
        <v>0.000944529040243165</v>
      </c>
      <c r="AW132" s="220" t="n">
        <f aca="false">Algae_electricity_factor/AA132</f>
        <v>0.00093913162292971</v>
      </c>
      <c r="AX132" s="220" t="n">
        <f aca="false">Algae_electricity_factor/AB132</f>
        <v>0.000935826851619137</v>
      </c>
      <c r="AY132" s="220" t="n">
        <f aca="false">Algae_electricity_factor/AC132</f>
        <v>0.000933810842032285</v>
      </c>
      <c r="AZ132" s="221" t="n">
        <f aca="false">Algae_yield_cost_factor/H132</f>
        <v>0.103045149380175</v>
      </c>
      <c r="BA132" s="197" t="n">
        <f aca="false">Algae_yield_cost_factor/I132</f>
        <v>0.103045149380175</v>
      </c>
      <c r="BB132" s="197" t="n">
        <f aca="false">Algae_yield_cost_factor/J132</f>
        <v>0.103045149380175</v>
      </c>
      <c r="BC132" s="197" t="n">
        <f aca="false">Algae_yield_cost_factor/K132</f>
        <v>0.103045149380175</v>
      </c>
      <c r="BD132" s="197" t="n">
        <f aca="false">Algae_yield_cost_factor/L132</f>
        <v>0.103045149380175</v>
      </c>
      <c r="BE132" s="197" t="n">
        <f aca="false">Algae_yield_cost_factor/M132</f>
        <v>0.0983794195073372</v>
      </c>
      <c r="BF132" s="197" t="n">
        <f aca="false">Algae_yield_cost_factor/N132</f>
        <v>0.0957794914736254</v>
      </c>
      <c r="BG132" s="197" t="n">
        <f aca="false">Algae_yield_cost_factor/O132</f>
        <v>0.0920701218274146</v>
      </c>
      <c r="BH132" s="197" t="n">
        <f aca="false">Algae_yield_cost_factor/P132</f>
        <v>0.0871472640817675</v>
      </c>
      <c r="BI132" s="197" t="n">
        <f aca="false">Algae_yield_cost_factor/Q132</f>
        <v>0.0812055999156553</v>
      </c>
      <c r="BJ132" s="197" t="n">
        <f aca="false">Algae_yield_cost_factor/R132</f>
        <v>0.0748037075885955</v>
      </c>
      <c r="BK132" s="197" t="n">
        <f aca="false">Algae_yield_cost_factor/S132</f>
        <v>0.0686967662534499</v>
      </c>
      <c r="BL132" s="197" t="n">
        <f aca="false">Algae_yield_cost_factor/T132</f>
        <v>0.0635116994296818</v>
      </c>
      <c r="BM132" s="197" t="n">
        <f aca="false">Algae_yield_cost_factor/U132</f>
        <v>0.0595272457282912</v>
      </c>
      <c r="BN132" s="197" t="n">
        <f aca="false">Algae_yield_cost_factor/V132</f>
        <v>0.0566937700379527</v>
      </c>
      <c r="BO132" s="197" t="n">
        <f aca="false">Algae_yield_cost_factor/W132</f>
        <v>0.0547880207741298</v>
      </c>
      <c r="BP132" s="197" t="n">
        <f aca="false">Algae_yield_cost_factor/X132</f>
        <v>0.053553822441899</v>
      </c>
      <c r="BQ132" s="197" t="n">
        <f aca="false">Algae_yield_cost_factor/Y132</f>
        <v>0.0527740012349071</v>
      </c>
      <c r="BR132" s="197" t="n">
        <f aca="false">Algae_yield_cost_factor/Z132</f>
        <v>0.052288927240596</v>
      </c>
      <c r="BS132" s="197" t="n">
        <f aca="false">Algae_yield_cost_factor/AA132</f>
        <v>0.0519901273634448</v>
      </c>
      <c r="BT132" s="197" t="n">
        <f aca="false">Algae_yield_cost_factor/AB132</f>
        <v>0.0518071759249577</v>
      </c>
      <c r="BU132" s="197" t="n">
        <f aca="false">Algae_yield_cost_factor/AC132</f>
        <v>0.0516955700620229</v>
      </c>
    </row>
    <row r="133" customFormat="false" ht="15" hidden="false" customHeight="false" outlineLevel="0" collapsed="false">
      <c r="A133" s="18" t="s">
        <v>711</v>
      </c>
      <c r="B133" s="18" t="s">
        <v>22</v>
      </c>
      <c r="C133" s="18" t="s">
        <v>684</v>
      </c>
      <c r="D133" s="18" t="s">
        <v>684</v>
      </c>
      <c r="E133" s="28" t="n">
        <v>7.437605</v>
      </c>
      <c r="F133" s="185" t="n">
        <f aca="false">E133/$B$2*$F$3/1000</f>
        <v>0.01822213225</v>
      </c>
      <c r="G133" s="18" t="n">
        <f aca="false">LOOKUP(RIGHT(D133,5),Ref!$C$4:$C$21,Ref!$E$4:$E$21)*$G$3</f>
        <v>3.5</v>
      </c>
      <c r="H133" s="218" t="n">
        <f aca="false">$E133</f>
        <v>7.437605</v>
      </c>
      <c r="I133" s="177" t="n">
        <f aca="false">$E133</f>
        <v>7.437605</v>
      </c>
      <c r="J133" s="177" t="n">
        <f aca="false">$E133</f>
        <v>7.437605</v>
      </c>
      <c r="K133" s="177" t="n">
        <f aca="false">$E133</f>
        <v>7.437605</v>
      </c>
      <c r="L133" s="177" t="n">
        <f aca="false">$E133</f>
        <v>7.437605</v>
      </c>
      <c r="M133" s="177" t="n">
        <f aca="false">M$3*$E133</f>
        <v>7.79033991147484</v>
      </c>
      <c r="N133" s="177" t="n">
        <f aca="false">N$3*$E133</f>
        <v>8.0018081790169</v>
      </c>
      <c r="O133" s="177" t="n">
        <f aca="false">O$3*$E133</f>
        <v>8.32418924884631</v>
      </c>
      <c r="P133" s="177" t="n">
        <f aca="false">P$3*$E133</f>
        <v>8.79441398798977</v>
      </c>
      <c r="Q133" s="177" t="n">
        <f aca="false">Q$3*$E133</f>
        <v>9.43788506028858</v>
      </c>
      <c r="R133" s="177" t="n">
        <f aca="false">R$3*$E133</f>
        <v>10.2456033659564</v>
      </c>
      <c r="S133" s="177" t="n">
        <f aca="false">S$3*$E133</f>
        <v>11.1564075</v>
      </c>
      <c r="T133" s="177" t="n">
        <f aca="false">T$3*$E133</f>
        <v>12.0672116340436</v>
      </c>
      <c r="U133" s="177" t="n">
        <f aca="false">U$3*$E133</f>
        <v>12.8749299397114</v>
      </c>
      <c r="V133" s="177" t="n">
        <f aca="false">V$3*$E133</f>
        <v>13.5184010120102</v>
      </c>
      <c r="W133" s="177" t="n">
        <f aca="false">W$3*$E133</f>
        <v>13.9886257511537</v>
      </c>
      <c r="X133" s="177" t="n">
        <f aca="false">X$3*$E133</f>
        <v>14.3110068209831</v>
      </c>
      <c r="Y133" s="177" t="n">
        <f aca="false">Y$3*$E133</f>
        <v>14.5224750885252</v>
      </c>
      <c r="Z133" s="177" t="n">
        <f aca="false">Z$3*$E133</f>
        <v>14.6571972060026</v>
      </c>
      <c r="AA133" s="177" t="n">
        <f aca="false">AA$3*$E133</f>
        <v>14.7414356748549</v>
      </c>
      <c r="AB133" s="177" t="n">
        <f aca="false">AB$3*$E133</f>
        <v>14.793493460556</v>
      </c>
      <c r="AC133" s="177" t="n">
        <f aca="false">AC$3*$E133</f>
        <v>14.8254312185013</v>
      </c>
      <c r="AD133" s="219" t="n">
        <f aca="false">Algae_electricity_factor/H133</f>
        <v>0.00184785251482557</v>
      </c>
      <c r="AE133" s="220" t="n">
        <f aca="false">Algae_electricity_factor/I133</f>
        <v>0.00184785251482557</v>
      </c>
      <c r="AF133" s="220" t="n">
        <f aca="false">Algae_electricity_factor/J133</f>
        <v>0.00184785251482557</v>
      </c>
      <c r="AG133" s="220" t="n">
        <f aca="false">Algae_electricity_factor/K133</f>
        <v>0.00184785251482557</v>
      </c>
      <c r="AH133" s="220" t="n">
        <f aca="false">Algae_electricity_factor/L133</f>
        <v>0.00184785251482557</v>
      </c>
      <c r="AI133" s="220" t="n">
        <f aca="false">Algae_electricity_factor/M133</f>
        <v>0.00176418452335893</v>
      </c>
      <c r="AJ133" s="220" t="n">
        <f aca="false">Algae_electricity_factor/N133</f>
        <v>0.00171756143062377</v>
      </c>
      <c r="AK133" s="220" t="n">
        <f aca="false">Algae_electricity_factor/O133</f>
        <v>0.00165104332598325</v>
      </c>
      <c r="AL133" s="220" t="n">
        <f aca="false">Algae_electricity_factor/P133</f>
        <v>0.00156276440048176</v>
      </c>
      <c r="AM133" s="220" t="n">
        <f aca="false">Algae_electricity_factor/Q133</f>
        <v>0.00145621577458679</v>
      </c>
      <c r="AN133" s="220" t="n">
        <f aca="false">Algae_electricity_factor/R133</f>
        <v>0.00134141412785857</v>
      </c>
      <c r="AO133" s="220" t="n">
        <f aca="false">Algae_electricity_factor/S133</f>
        <v>0.00123190167655038</v>
      </c>
      <c r="AP133" s="220" t="n">
        <f aca="false">Algae_electricity_factor/T133</f>
        <v>0.00113892069852793</v>
      </c>
      <c r="AQ133" s="220" t="n">
        <f aca="false">Algae_electricity_factor/U133</f>
        <v>0.00106746966141839</v>
      </c>
      <c r="AR133" s="220" t="n">
        <f aca="false">Algae_electricity_factor/V133</f>
        <v>0.0010166584858164</v>
      </c>
      <c r="AS133" s="220" t="n">
        <f aca="false">Algae_electricity_factor/W133</f>
        <v>0.000982483722705626</v>
      </c>
      <c r="AT133" s="220" t="n">
        <f aca="false">Algae_electricity_factor/X133</f>
        <v>0.000960351516524897</v>
      </c>
      <c r="AU133" s="220" t="n">
        <f aca="false">Algae_electricity_factor/Y133</f>
        <v>0.000946367407742271</v>
      </c>
      <c r="AV133" s="220" t="n">
        <f aca="false">Algae_electricity_factor/Z133</f>
        <v>0.00093766884011773</v>
      </c>
      <c r="AW133" s="220" t="n">
        <f aca="false">Algae_electricity_factor/AA133</f>
        <v>0.000932310624735982</v>
      </c>
      <c r="AX133" s="220" t="n">
        <f aca="false">Algae_electricity_factor/AB133</f>
        <v>0.000929029856279311</v>
      </c>
      <c r="AY133" s="220" t="n">
        <f aca="false">Algae_electricity_factor/AC133</f>
        <v>0.00092702848915302</v>
      </c>
      <c r="AZ133" s="221" t="n">
        <f aca="false">Algae_yield_cost_factor/H133</f>
        <v>0.102296723109955</v>
      </c>
      <c r="BA133" s="197" t="n">
        <f aca="false">Algae_yield_cost_factor/I133</f>
        <v>0.102296723109955</v>
      </c>
      <c r="BB133" s="197" t="n">
        <f aca="false">Algae_yield_cost_factor/J133</f>
        <v>0.102296723109955</v>
      </c>
      <c r="BC133" s="197" t="n">
        <f aca="false">Algae_yield_cost_factor/K133</f>
        <v>0.102296723109955</v>
      </c>
      <c r="BD133" s="197" t="n">
        <f aca="false">Algae_yield_cost_factor/L133</f>
        <v>0.102296723109955</v>
      </c>
      <c r="BE133" s="197" t="n">
        <f aca="false">Algae_yield_cost_factor/M133</f>
        <v>0.0976648808565502</v>
      </c>
      <c r="BF133" s="197" t="n">
        <f aca="false">Algae_yield_cost_factor/N133</f>
        <v>0.0950838363360636</v>
      </c>
      <c r="BG133" s="197" t="n">
        <f aca="false">Algae_yield_cost_factor/O133</f>
        <v>0.0914014081781798</v>
      </c>
      <c r="BH133" s="197" t="n">
        <f aca="false">Algae_yield_cost_factor/P133</f>
        <v>0.0865143055950373</v>
      </c>
      <c r="BI133" s="197" t="n">
        <f aca="false">Algae_yield_cost_factor/Q133</f>
        <v>0.0806157962749075</v>
      </c>
      <c r="BJ133" s="197" t="n">
        <f aca="false">Algae_yield_cost_factor/R133</f>
        <v>0.0742604014727241</v>
      </c>
      <c r="BK133" s="197" t="n">
        <f aca="false">Algae_yield_cost_factor/S133</f>
        <v>0.0681978154066367</v>
      </c>
      <c r="BL133" s="197" t="n">
        <f aca="false">Algae_yield_cost_factor/T133</f>
        <v>0.0630504081937004</v>
      </c>
      <c r="BM133" s="197" t="n">
        <f aca="false">Algae_yield_cost_factor/U133</f>
        <v>0.0590948939410906</v>
      </c>
      <c r="BN133" s="197" t="n">
        <f aca="false">Algae_yield_cost_factor/V133</f>
        <v>0.0562819980417993</v>
      </c>
      <c r="BO133" s="197" t="n">
        <f aca="false">Algae_yield_cost_factor/W133</f>
        <v>0.0543900904078064</v>
      </c>
      <c r="BP133" s="197" t="n">
        <f aca="false">Algae_yield_cost_factor/X133</f>
        <v>0.0531648561700533</v>
      </c>
      <c r="BQ133" s="197" t="n">
        <f aca="false">Algae_yield_cost_factor/Y133</f>
        <v>0.0523906988752484</v>
      </c>
      <c r="BR133" s="197" t="n">
        <f aca="false">Algae_yield_cost_factor/Z133</f>
        <v>0.0519091480173733</v>
      </c>
      <c r="BS133" s="197" t="n">
        <f aca="false">Algae_yield_cost_factor/AA133</f>
        <v>0.0516125183508429</v>
      </c>
      <c r="BT133" s="197" t="n">
        <f aca="false">Algae_yield_cost_factor/AB133</f>
        <v>0.0514308957052544</v>
      </c>
      <c r="BU133" s="197" t="n">
        <f aca="false">Algae_yield_cost_factor/AC133</f>
        <v>0.0513201004458292</v>
      </c>
    </row>
    <row r="134" customFormat="false" ht="15" hidden="false" customHeight="false" outlineLevel="0" collapsed="false">
      <c r="A134" s="18" t="s">
        <v>711</v>
      </c>
      <c r="B134" s="18" t="s">
        <v>22</v>
      </c>
      <c r="C134" s="18" t="s">
        <v>685</v>
      </c>
      <c r="D134" s="18" t="s">
        <v>685</v>
      </c>
      <c r="E134" s="28" t="n">
        <v>7.64967</v>
      </c>
      <c r="F134" s="185" t="n">
        <f aca="false">E134/$B$2*$F$3/1000</f>
        <v>0.0187416915</v>
      </c>
      <c r="G134" s="18" t="n">
        <f aca="false">LOOKUP(RIGHT(D134,5),Ref!$C$4:$C$21,Ref!$E$4:$E$21)*$G$3</f>
        <v>4</v>
      </c>
      <c r="H134" s="218" t="n">
        <f aca="false">$E134</f>
        <v>7.64967</v>
      </c>
      <c r="I134" s="177" t="n">
        <f aca="false">$E134</f>
        <v>7.64967</v>
      </c>
      <c r="J134" s="177" t="n">
        <f aca="false">$E134</f>
        <v>7.64967</v>
      </c>
      <c r="K134" s="177" t="n">
        <f aca="false">$E134</f>
        <v>7.64967</v>
      </c>
      <c r="L134" s="177" t="n">
        <f aca="false">$E134</f>
        <v>7.64967</v>
      </c>
      <c r="M134" s="177" t="n">
        <f aca="false">M$3*$E134</f>
        <v>8.01246227927024</v>
      </c>
      <c r="N134" s="177" t="n">
        <f aca="false">N$3*$E134</f>
        <v>8.22996004396311</v>
      </c>
      <c r="O134" s="177" t="n">
        <f aca="false">O$3*$E134</f>
        <v>8.56153301650493</v>
      </c>
      <c r="P134" s="177" t="n">
        <f aca="false">P$3*$E134</f>
        <v>9.04516505669577</v>
      </c>
      <c r="Q134" s="177" t="n">
        <f aca="false">Q$3*$E134</f>
        <v>9.70698312281141</v>
      </c>
      <c r="R134" s="177" t="n">
        <f aca="false">R$3*$E134</f>
        <v>10.5377315278851</v>
      </c>
      <c r="S134" s="177" t="n">
        <f aca="false">S$3*$E134</f>
        <v>11.474505</v>
      </c>
      <c r="T134" s="177" t="n">
        <f aca="false">T$3*$E134</f>
        <v>12.4112784721149</v>
      </c>
      <c r="U134" s="177" t="n">
        <f aca="false">U$3*$E134</f>
        <v>13.2420268771886</v>
      </c>
      <c r="V134" s="177" t="n">
        <f aca="false">V$3*$E134</f>
        <v>13.9038449433042</v>
      </c>
      <c r="W134" s="177" t="n">
        <f aca="false">W$3*$E134</f>
        <v>14.3874769834951</v>
      </c>
      <c r="X134" s="177" t="n">
        <f aca="false">X$3*$E134</f>
        <v>14.7190499560369</v>
      </c>
      <c r="Y134" s="177" t="n">
        <f aca="false">Y$3*$E134</f>
        <v>14.9365477207298</v>
      </c>
      <c r="Z134" s="177" t="n">
        <f aca="false">Z$3*$E134</f>
        <v>15.0751111077883</v>
      </c>
      <c r="AA134" s="177" t="n">
        <f aca="false">AA$3*$E134</f>
        <v>15.1617514292393</v>
      </c>
      <c r="AB134" s="177" t="n">
        <f aca="false">AB$3*$E134</f>
        <v>15.215293514567</v>
      </c>
      <c r="AC134" s="177" t="n">
        <f aca="false">AC$3*$E134</f>
        <v>15.24814189907</v>
      </c>
      <c r="AD134" s="219" t="n">
        <f aca="false">Algae_electricity_factor/H134</f>
        <v>0.00179662614250409</v>
      </c>
      <c r="AE134" s="220" t="n">
        <f aca="false">Algae_electricity_factor/I134</f>
        <v>0.00179662614250409</v>
      </c>
      <c r="AF134" s="220" t="n">
        <f aca="false">Algae_electricity_factor/J134</f>
        <v>0.00179662614250409</v>
      </c>
      <c r="AG134" s="220" t="n">
        <f aca="false">Algae_electricity_factor/K134</f>
        <v>0.00179662614250409</v>
      </c>
      <c r="AH134" s="220" t="n">
        <f aca="false">Algae_electricity_factor/L134</f>
        <v>0.00179662614250409</v>
      </c>
      <c r="AI134" s="220" t="n">
        <f aca="false">Algae_electricity_factor/M134</f>
        <v>0.00171527760437469</v>
      </c>
      <c r="AJ134" s="220" t="n">
        <f aca="false">Algae_electricity_factor/N134</f>
        <v>0.00166994700218631</v>
      </c>
      <c r="AK134" s="220" t="n">
        <f aca="false">Algae_electricity_factor/O134</f>
        <v>0.00160527291981872</v>
      </c>
      <c r="AL134" s="220" t="n">
        <f aca="false">Algae_electricity_factor/P134</f>
        <v>0.00151944127247909</v>
      </c>
      <c r="AM134" s="220" t="n">
        <f aca="false">Algae_electricity_factor/Q134</f>
        <v>0.0014158463994062</v>
      </c>
      <c r="AN134" s="220" t="n">
        <f aca="false">Algae_electricity_factor/R134</f>
        <v>0.00130422729665875</v>
      </c>
      <c r="AO134" s="220" t="n">
        <f aca="false">Algae_electricity_factor/S134</f>
        <v>0.00119775076166939</v>
      </c>
      <c r="AP134" s="220" t="n">
        <f aca="false">Algae_electricity_factor/T134</f>
        <v>0.00110734741263019</v>
      </c>
      <c r="AQ134" s="220" t="n">
        <f aca="false">Algae_electricity_factor/U134</f>
        <v>0.0010378771490945</v>
      </c>
      <c r="AR134" s="220" t="n">
        <f aca="false">Algae_electricity_factor/V134</f>
        <v>0.000988474566536925</v>
      </c>
      <c r="AS134" s="220" t="n">
        <f aca="false">Algae_electricity_factor/W134</f>
        <v>0.00095524719999869</v>
      </c>
      <c r="AT134" s="220" t="n">
        <f aca="false">Algae_electricity_factor/X134</f>
        <v>0.000933728545291908</v>
      </c>
      <c r="AU134" s="220" t="n">
        <f aca="false">Algae_electricity_factor/Y134</f>
        <v>0.00092013210552363</v>
      </c>
      <c r="AV134" s="220" t="n">
        <f aca="false">Algae_electricity_factor/Z134</f>
        <v>0.000911674680555348</v>
      </c>
      <c r="AW134" s="220" t="n">
        <f aca="false">Algae_electricity_factor/AA134</f>
        <v>0.000906465006214577</v>
      </c>
      <c r="AX134" s="220" t="n">
        <f aca="false">Algae_electricity_factor/AB134</f>
        <v>0.000903275187584861</v>
      </c>
      <c r="AY134" s="220" t="n">
        <f aca="false">Algae_electricity_factor/AC134</f>
        <v>0.000901329302579973</v>
      </c>
      <c r="AZ134" s="221" t="n">
        <f aca="false">Algae_yield_cost_factor/H134</f>
        <v>0.0994608420083765</v>
      </c>
      <c r="BA134" s="197" t="n">
        <f aca="false">Algae_yield_cost_factor/I134</f>
        <v>0.0994608420083765</v>
      </c>
      <c r="BB134" s="197" t="n">
        <f aca="false">Algae_yield_cost_factor/J134</f>
        <v>0.0994608420083765</v>
      </c>
      <c r="BC134" s="197" t="n">
        <f aca="false">Algae_yield_cost_factor/K134</f>
        <v>0.0994608420083765</v>
      </c>
      <c r="BD134" s="197" t="n">
        <f aca="false">Algae_yield_cost_factor/L134</f>
        <v>0.0994608420083765</v>
      </c>
      <c r="BE134" s="197" t="n">
        <f aca="false">Algae_yield_cost_factor/M134</f>
        <v>0.0949574041995383</v>
      </c>
      <c r="BF134" s="197" t="n">
        <f aca="false">Algae_yield_cost_factor/N134</f>
        <v>0.0924479116814566</v>
      </c>
      <c r="BG134" s="197" t="n">
        <f aca="false">Algae_yield_cost_factor/O134</f>
        <v>0.0888675682053044</v>
      </c>
      <c r="BH134" s="197" t="n">
        <f aca="false">Algae_yield_cost_factor/P134</f>
        <v>0.0841159464218949</v>
      </c>
      <c r="BI134" s="197" t="n">
        <f aca="false">Algae_yield_cost_factor/Q134</f>
        <v>0.0783809562312144</v>
      </c>
      <c r="BJ134" s="197" t="n">
        <f aca="false">Algae_yield_cost_factor/R134</f>
        <v>0.0722017463884769</v>
      </c>
      <c r="BK134" s="197" t="n">
        <f aca="false">Algae_yield_cost_factor/S134</f>
        <v>0.0663072280055844</v>
      </c>
      <c r="BL134" s="197" t="n">
        <f aca="false">Algae_yield_cost_factor/T134</f>
        <v>0.061302517786193</v>
      </c>
      <c r="BM134" s="197" t="n">
        <f aca="false">Algae_yield_cost_factor/U134</f>
        <v>0.0574566587383148</v>
      </c>
      <c r="BN134" s="197" t="n">
        <f aca="false">Algae_yield_cost_factor/V134</f>
        <v>0.0547217422510614</v>
      </c>
      <c r="BO134" s="197" t="n">
        <f aca="false">Algae_yield_cost_factor/W134</f>
        <v>0.0528822822902887</v>
      </c>
      <c r="BP134" s="197" t="n">
        <f aca="false">Algae_yield_cost_factor/X134</f>
        <v>0.0516910141319389</v>
      </c>
      <c r="BQ134" s="197" t="n">
        <f aca="false">Algae_yield_cost_factor/Y134</f>
        <v>0.0509383181115057</v>
      </c>
      <c r="BR134" s="197" t="n">
        <f aca="false">Algae_yield_cost_factor/Z134</f>
        <v>0.0504701168599111</v>
      </c>
      <c r="BS134" s="197" t="n">
        <f aca="false">Algae_yield_cost_factor/AA134</f>
        <v>0.0501817103938889</v>
      </c>
      <c r="BT134" s="197" t="n">
        <f aca="false">Algae_yield_cost_factor/AB134</f>
        <v>0.0500051227114213</v>
      </c>
      <c r="BU134" s="197" t="n">
        <f aca="false">Algae_yield_cost_factor/AC134</f>
        <v>0.0498973989304638</v>
      </c>
    </row>
    <row r="135" customFormat="false" ht="15" hidden="false" customHeight="false" outlineLevel="0" collapsed="false">
      <c r="A135" s="18" t="s">
        <v>711</v>
      </c>
      <c r="B135" s="18" t="s">
        <v>22</v>
      </c>
      <c r="C135" s="18" t="s">
        <v>686</v>
      </c>
      <c r="D135" s="18" t="s">
        <v>686</v>
      </c>
      <c r="E135" s="28" t="n">
        <v>7.682155</v>
      </c>
      <c r="F135" s="185" t="n">
        <f aca="false">E135/$B$2*$F$3/1000</f>
        <v>0.01882127975</v>
      </c>
      <c r="G135" s="18" t="n">
        <f aca="false">LOOKUP(RIGHT(D135,5),Ref!$C$4:$C$21,Ref!$E$4:$E$21)*$G$3</f>
        <v>4.5</v>
      </c>
      <c r="H135" s="218" t="n">
        <f aca="false">$E135</f>
        <v>7.682155</v>
      </c>
      <c r="I135" s="177" t="n">
        <f aca="false">$E135</f>
        <v>7.682155</v>
      </c>
      <c r="J135" s="177" t="n">
        <f aca="false">$E135</f>
        <v>7.682155</v>
      </c>
      <c r="K135" s="177" t="n">
        <f aca="false">$E135</f>
        <v>7.682155</v>
      </c>
      <c r="L135" s="177" t="n">
        <f aca="false">$E135</f>
        <v>7.682155</v>
      </c>
      <c r="M135" s="177" t="n">
        <f aca="false">M$3*$E135</f>
        <v>8.04648790876041</v>
      </c>
      <c r="N135" s="177" t="n">
        <f aca="false">N$3*$E135</f>
        <v>8.2649092969411</v>
      </c>
      <c r="O135" s="177" t="n">
        <f aca="false">O$3*$E135</f>
        <v>8.59789032342682</v>
      </c>
      <c r="P135" s="177" t="n">
        <f aca="false">P$3*$E135</f>
        <v>9.08357614983662</v>
      </c>
      <c r="Q135" s="177" t="n">
        <f aca="false">Q$3*$E135</f>
        <v>9.74820468488462</v>
      </c>
      <c r="R135" s="177" t="n">
        <f aca="false">R$3*$E135</f>
        <v>10.582480936511</v>
      </c>
      <c r="S135" s="177" t="n">
        <f aca="false">S$3*$E135</f>
        <v>11.5232325</v>
      </c>
      <c r="T135" s="177" t="n">
        <f aca="false">T$3*$E135</f>
        <v>12.463984063489</v>
      </c>
      <c r="U135" s="177" t="n">
        <f aca="false">U$3*$E135</f>
        <v>13.2982603151154</v>
      </c>
      <c r="V135" s="177" t="n">
        <f aca="false">V$3*$E135</f>
        <v>13.9628888501634</v>
      </c>
      <c r="W135" s="177" t="n">
        <f aca="false">W$3*$E135</f>
        <v>14.4485746765732</v>
      </c>
      <c r="X135" s="177" t="n">
        <f aca="false">X$3*$E135</f>
        <v>14.7815557030589</v>
      </c>
      <c r="Y135" s="177" t="n">
        <f aca="false">Y$3*$E135</f>
        <v>14.9999770912396</v>
      </c>
      <c r="Z135" s="177" t="n">
        <f aca="false">Z$3*$E135</f>
        <v>15.1391288999723</v>
      </c>
      <c r="AA135" s="177" t="n">
        <f aca="false">AA$3*$E135</f>
        <v>15.2261371472087</v>
      </c>
      <c r="AB135" s="177" t="n">
        <f aca="false">AB$3*$E135</f>
        <v>15.2799066037357</v>
      </c>
      <c r="AC135" s="177" t="n">
        <f aca="false">AC$3*$E135</f>
        <v>15.3128944818078</v>
      </c>
      <c r="AD135" s="219" t="n">
        <f aca="false">Algae_electricity_factor/H135</f>
        <v>0.00178902887321712</v>
      </c>
      <c r="AE135" s="220" t="n">
        <f aca="false">Algae_electricity_factor/I135</f>
        <v>0.00178902887321712</v>
      </c>
      <c r="AF135" s="220" t="n">
        <f aca="false">Algae_electricity_factor/J135</f>
        <v>0.00178902887321712</v>
      </c>
      <c r="AG135" s="220" t="n">
        <f aca="false">Algae_electricity_factor/K135</f>
        <v>0.00178902887321712</v>
      </c>
      <c r="AH135" s="220" t="n">
        <f aca="false">Algae_electricity_factor/L135</f>
        <v>0.00178902887321712</v>
      </c>
      <c r="AI135" s="220" t="n">
        <f aca="false">Algae_electricity_factor/M135</f>
        <v>0.00170802432805078</v>
      </c>
      <c r="AJ135" s="220" t="n">
        <f aca="false">Algae_electricity_factor/N135</f>
        <v>0.00166288541225926</v>
      </c>
      <c r="AK135" s="220" t="n">
        <f aca="false">Algae_electricity_factor/O135</f>
        <v>0.00159848481273154</v>
      </c>
      <c r="AL135" s="220" t="n">
        <f aca="false">Algae_electricity_factor/P135</f>
        <v>0.00151301611577027</v>
      </c>
      <c r="AM135" s="220" t="n">
        <f aca="false">Algae_electricity_factor/Q135</f>
        <v>0.00140985930720554</v>
      </c>
      <c r="AN135" s="220" t="n">
        <f aca="false">Algae_electricity_factor/R135</f>
        <v>0.00129871220047389</v>
      </c>
      <c r="AO135" s="220" t="n">
        <f aca="false">Algae_electricity_factor/S135</f>
        <v>0.00119268591547808</v>
      </c>
      <c r="AP135" s="220" t="n">
        <f aca="false">Algae_electricity_factor/T135</f>
        <v>0.00110266484885749</v>
      </c>
      <c r="AQ135" s="220" t="n">
        <f aca="false">Algae_electricity_factor/U135</f>
        <v>0.0010334883494428</v>
      </c>
      <c r="AR135" s="220" t="n">
        <f aca="false">Algae_electricity_factor/V135</f>
        <v>0.00098429467218515</v>
      </c>
      <c r="AS135" s="220" t="n">
        <f aca="false">Algae_electricity_factor/W135</f>
        <v>0.000951207811924386</v>
      </c>
      <c r="AT135" s="220" t="n">
        <f aca="false">Algae_electricity_factor/X135</f>
        <v>0.000929780151671393</v>
      </c>
      <c r="AU135" s="220" t="n">
        <f aca="false">Algae_electricity_factor/Y135</f>
        <v>0.000916241206231969</v>
      </c>
      <c r="AV135" s="220" t="n">
        <f aca="false">Algae_electricity_factor/Z135</f>
        <v>0.000907819544594431</v>
      </c>
      <c r="AW135" s="220" t="n">
        <f aca="false">Algae_electricity_factor/AA135</f>
        <v>0.000902631900044904</v>
      </c>
      <c r="AX135" s="220" t="n">
        <f aca="false">Algae_electricity_factor/AB135</f>
        <v>0.000899455569981638</v>
      </c>
      <c r="AY135" s="220" t="n">
        <f aca="false">Algae_electricity_factor/AC135</f>
        <v>0.000897517913406713</v>
      </c>
      <c r="AZ135" s="221" t="n">
        <f aca="false">Algae_yield_cost_factor/H135</f>
        <v>0.099040258792776</v>
      </c>
      <c r="BA135" s="197" t="n">
        <f aca="false">Algae_yield_cost_factor/I135</f>
        <v>0.099040258792776</v>
      </c>
      <c r="BB135" s="197" t="n">
        <f aca="false">Algae_yield_cost_factor/J135</f>
        <v>0.099040258792776</v>
      </c>
      <c r="BC135" s="197" t="n">
        <f aca="false">Algae_yield_cost_factor/K135</f>
        <v>0.099040258792776</v>
      </c>
      <c r="BD135" s="197" t="n">
        <f aca="false">Algae_yield_cost_factor/L135</f>
        <v>0.099040258792776</v>
      </c>
      <c r="BE135" s="197" t="n">
        <f aca="false">Algae_yield_cost_factor/M135</f>
        <v>0.094555864361378</v>
      </c>
      <c r="BF135" s="197" t="n">
        <f aca="false">Algae_yield_cost_factor/N135</f>
        <v>0.0920569835615512</v>
      </c>
      <c r="BG135" s="197" t="n">
        <f aca="false">Algae_yield_cost_factor/O135</f>
        <v>0.0884917800373816</v>
      </c>
      <c r="BH135" s="197" t="n">
        <f aca="false">Algae_yield_cost_factor/P135</f>
        <v>0.0837602511099004</v>
      </c>
      <c r="BI135" s="197" t="n">
        <f aca="false">Algae_yield_cost_factor/Q135</f>
        <v>0.0780495120774358</v>
      </c>
      <c r="BJ135" s="197" t="n">
        <f aca="false">Algae_yield_cost_factor/R135</f>
        <v>0.0718964318339763</v>
      </c>
      <c r="BK135" s="197" t="n">
        <f aca="false">Algae_yield_cost_factor/S135</f>
        <v>0.066026839195184</v>
      </c>
      <c r="BL135" s="197" t="n">
        <f aca="false">Algae_yield_cost_factor/T135</f>
        <v>0.0610432920493673</v>
      </c>
      <c r="BM135" s="197" t="n">
        <f aca="false">Algae_yield_cost_factor/U135</f>
        <v>0.0572136957208915</v>
      </c>
      <c r="BN135" s="197" t="n">
        <f aca="false">Algae_yield_cost_factor/V135</f>
        <v>0.0544903441867128</v>
      </c>
      <c r="BO135" s="197" t="n">
        <f aca="false">Algae_yield_cost_factor/W135</f>
        <v>0.0526586626236457</v>
      </c>
      <c r="BP135" s="197" t="n">
        <f aca="false">Algae_yield_cost_factor/X135</f>
        <v>0.0514724318989488</v>
      </c>
      <c r="BQ135" s="197" t="n">
        <f aca="false">Algae_yield_cost_factor/Y135</f>
        <v>0.0507229187523607</v>
      </c>
      <c r="BR135" s="197" t="n">
        <f aca="false">Algae_yield_cost_factor/Z135</f>
        <v>0.0502566973511672</v>
      </c>
      <c r="BS135" s="197" t="n">
        <f aca="false">Algae_yield_cost_factor/AA135</f>
        <v>0.0499695104497137</v>
      </c>
      <c r="BT135" s="197" t="n">
        <f aca="false">Algae_yield_cost_factor/AB135</f>
        <v>0.0497936694914225</v>
      </c>
      <c r="BU135" s="197" t="n">
        <f aca="false">Algae_yield_cost_factor/AC135</f>
        <v>0.0496864012346017</v>
      </c>
    </row>
    <row r="136" customFormat="false" ht="15" hidden="false" customHeight="false" outlineLevel="0" collapsed="false">
      <c r="A136" s="18" t="s">
        <v>711</v>
      </c>
      <c r="B136" s="18" t="s">
        <v>22</v>
      </c>
      <c r="C136" s="18" t="s">
        <v>687</v>
      </c>
      <c r="D136" s="18" t="s">
        <v>687</v>
      </c>
      <c r="E136" s="28" t="n">
        <v>7.2560175</v>
      </c>
      <c r="F136" s="185" t="n">
        <f aca="false">E136/$B$2*$F$3/1000</f>
        <v>0.017777242875</v>
      </c>
      <c r="G136" s="18" t="n">
        <f aca="false">LOOKUP(RIGHT(D136,5),Ref!$C$4:$C$21,Ref!$E$4:$E$21)*$G$3</f>
        <v>4.5</v>
      </c>
      <c r="H136" s="218" t="n">
        <f aca="false">$E136</f>
        <v>7.2560175</v>
      </c>
      <c r="I136" s="177" t="n">
        <f aca="false">$E136</f>
        <v>7.2560175</v>
      </c>
      <c r="J136" s="177" t="n">
        <f aca="false">$E136</f>
        <v>7.2560175</v>
      </c>
      <c r="K136" s="177" t="n">
        <f aca="false">$E136</f>
        <v>7.2560175</v>
      </c>
      <c r="L136" s="177" t="n">
        <f aca="false">$E136</f>
        <v>7.2560175</v>
      </c>
      <c r="M136" s="177" t="n">
        <f aca="false">M$3*$E136</f>
        <v>7.6001404657292</v>
      </c>
      <c r="N136" s="177" t="n">
        <f aca="false">N$3*$E136</f>
        <v>7.80644578175229</v>
      </c>
      <c r="O136" s="177" t="n">
        <f aca="false">O$3*$E136</f>
        <v>8.12095598824362</v>
      </c>
      <c r="P136" s="177" t="n">
        <f aca="false">P$3*$E136</f>
        <v>8.57970029318559</v>
      </c>
      <c r="Q136" s="177" t="n">
        <f aca="false">Q$3*$E136</f>
        <v>9.20746115993556</v>
      </c>
      <c r="R136" s="177" t="n">
        <f aca="false">R$3*$E136</f>
        <v>9.99545919976105</v>
      </c>
      <c r="S136" s="177" t="n">
        <f aca="false">S$3*$E136</f>
        <v>10.88402625</v>
      </c>
      <c r="T136" s="177" t="n">
        <f aca="false">T$3*$E136</f>
        <v>11.772593300239</v>
      </c>
      <c r="U136" s="177" t="n">
        <f aca="false">U$3*$E136</f>
        <v>12.5605913400644</v>
      </c>
      <c r="V136" s="177" t="n">
        <f aca="false">V$3*$E136</f>
        <v>13.1883522068144</v>
      </c>
      <c r="W136" s="177" t="n">
        <f aca="false">W$3*$E136</f>
        <v>13.6470965117564</v>
      </c>
      <c r="X136" s="177" t="n">
        <f aca="false">X$3*$E136</f>
        <v>13.9616067182477</v>
      </c>
      <c r="Y136" s="177" t="n">
        <f aca="false">Y$3*$E136</f>
        <v>14.1679120342708</v>
      </c>
      <c r="Z136" s="177" t="n">
        <f aca="false">Z$3*$E136</f>
        <v>14.2993449407041</v>
      </c>
      <c r="AA136" s="177" t="n">
        <f aca="false">AA$3*$E136</f>
        <v>14.3815267457564</v>
      </c>
      <c r="AB136" s="177" t="n">
        <f aca="false">AB$3*$E136</f>
        <v>14.4323135520009</v>
      </c>
      <c r="AC136" s="177" t="n">
        <f aca="false">AC$3*$E136</f>
        <v>14.4634715565685</v>
      </c>
      <c r="AD136" s="219" t="n">
        <f aca="false">Algae_electricity_factor/H136</f>
        <v>0.00189409646593731</v>
      </c>
      <c r="AE136" s="220" t="n">
        <f aca="false">Algae_electricity_factor/I136</f>
        <v>0.00189409646593731</v>
      </c>
      <c r="AF136" s="220" t="n">
        <f aca="false">Algae_electricity_factor/J136</f>
        <v>0.00189409646593731</v>
      </c>
      <c r="AG136" s="220" t="n">
        <f aca="false">Algae_electricity_factor/K136</f>
        <v>0.00189409646593731</v>
      </c>
      <c r="AH136" s="220" t="n">
        <f aca="false">Algae_electricity_factor/L136</f>
        <v>0.00189409646593731</v>
      </c>
      <c r="AI136" s="220" t="n">
        <f aca="false">Algae_electricity_factor/M136</f>
        <v>0.00180833461769586</v>
      </c>
      <c r="AJ136" s="220" t="n">
        <f aca="false">Algae_electricity_factor/N136</f>
        <v>0.00176054474568377</v>
      </c>
      <c r="AK136" s="220" t="n">
        <f aca="false">Algae_electricity_factor/O136</f>
        <v>0.00169236197356879</v>
      </c>
      <c r="AL136" s="220" t="n">
        <f aca="false">Algae_electricity_factor/P136</f>
        <v>0.00160187379907024</v>
      </c>
      <c r="AM136" s="220" t="n">
        <f aca="false">Algae_electricity_factor/Q136</f>
        <v>0.00149265871066954</v>
      </c>
      <c r="AN136" s="220" t="n">
        <f aca="false">Algae_electricity_factor/R136</f>
        <v>0.00137498406314918</v>
      </c>
      <c r="AO136" s="220" t="n">
        <f aca="false">Algae_electricity_factor/S136</f>
        <v>0.00126273097729154</v>
      </c>
      <c r="AP136" s="220" t="n">
        <f aca="false">Algae_electricity_factor/T136</f>
        <v>0.00116742307773856</v>
      </c>
      <c r="AQ136" s="220" t="n">
        <f aca="false">Algae_electricity_factor/U136</f>
        <v>0.00109418392267022</v>
      </c>
      <c r="AR136" s="220" t="n">
        <f aca="false">Algae_electricity_factor/V136</f>
        <v>0.00104210115774948</v>
      </c>
      <c r="AS136" s="220" t="n">
        <f aca="false">Algae_electricity_factor/W136</f>
        <v>0.00100707114452439</v>
      </c>
      <c r="AT136" s="220" t="n">
        <f aca="false">Algae_electricity_factor/X136</f>
        <v>0.000984385062613638</v>
      </c>
      <c r="AU136" s="220" t="n">
        <f aca="false">Algae_electricity_factor/Y136</f>
        <v>0.000970050990596557</v>
      </c>
      <c r="AV136" s="220" t="n">
        <f aca="false">Algae_electricity_factor/Z136</f>
        <v>0.00096113473452949</v>
      </c>
      <c r="AW136" s="220" t="n">
        <f aca="false">Algae_electricity_factor/AA136</f>
        <v>0.000955642425626656</v>
      </c>
      <c r="AX136" s="220" t="n">
        <f aca="false">Algae_electricity_factor/AB136</f>
        <v>0.000952279553379286</v>
      </c>
      <c r="AY136" s="220" t="n">
        <f aca="false">Algae_electricity_factor/AC136</f>
        <v>0.00095022810047894</v>
      </c>
      <c r="AZ136" s="221" t="n">
        <f aca="false">Algae_yield_cost_factor/H136</f>
        <v>0.104856778430622</v>
      </c>
      <c r="BA136" s="197" t="n">
        <f aca="false">Algae_yield_cost_factor/I136</f>
        <v>0.104856778430622</v>
      </c>
      <c r="BB136" s="197" t="n">
        <f aca="false">Algae_yield_cost_factor/J136</f>
        <v>0.104856778430622</v>
      </c>
      <c r="BC136" s="197" t="n">
        <f aca="false">Algae_yield_cost_factor/K136</f>
        <v>0.104856778430622</v>
      </c>
      <c r="BD136" s="197" t="n">
        <f aca="false">Algae_yield_cost_factor/L136</f>
        <v>0.104856778430622</v>
      </c>
      <c r="BE136" s="197" t="n">
        <f aca="false">Algae_yield_cost_factor/M136</f>
        <v>0.100109020710477</v>
      </c>
      <c r="BF136" s="197" t="n">
        <f aca="false">Algae_yield_cost_factor/N136</f>
        <v>0.0974633835368076</v>
      </c>
      <c r="BG136" s="197" t="n">
        <f aca="false">Algae_yield_cost_factor/O136</f>
        <v>0.0936887997407767</v>
      </c>
      <c r="BH136" s="197" t="n">
        <f aca="false">Algae_yield_cost_factor/P136</f>
        <v>0.0886793936019555</v>
      </c>
      <c r="BI136" s="197" t="n">
        <f aca="false">Algae_yield_cost_factor/Q136</f>
        <v>0.0826332694833266</v>
      </c>
      <c r="BJ136" s="197" t="n">
        <f aca="false">Algae_yield_cost_factor/R136</f>
        <v>0.0761188259669357</v>
      </c>
      <c r="BK136" s="197" t="n">
        <f aca="false">Algae_yield_cost_factor/S136</f>
        <v>0.0699045189537482</v>
      </c>
      <c r="BL136" s="197" t="n">
        <f aca="false">Algae_yield_cost_factor/T136</f>
        <v>0.0646282938586501</v>
      </c>
      <c r="BM136" s="197" t="n">
        <f aca="false">Algae_yield_cost_factor/U136</f>
        <v>0.0605737897752762</v>
      </c>
      <c r="BN136" s="197" t="n">
        <f aca="false">Algae_yield_cost_factor/V136</f>
        <v>0.0576904989611281</v>
      </c>
      <c r="BO136" s="197" t="n">
        <f aca="false">Algae_yield_cost_factor/W136</f>
        <v>0.0557512448622888</v>
      </c>
      <c r="BP136" s="197" t="n">
        <f aca="false">Algae_yield_cost_factor/X136</f>
        <v>0.0544953481816532</v>
      </c>
      <c r="BQ136" s="197" t="n">
        <f aca="false">Algae_yield_cost_factor/Y136</f>
        <v>0.0537018169964504</v>
      </c>
      <c r="BR136" s="197" t="n">
        <f aca="false">Algae_yield_cost_factor/Z136</f>
        <v>0.0532082149525902</v>
      </c>
      <c r="BS136" s="197" t="n">
        <f aca="false">Algae_yield_cost_factor/AA136</f>
        <v>0.0529041618971868</v>
      </c>
      <c r="BT136" s="197" t="n">
        <f aca="false">Algae_yield_cost_factor/AB136</f>
        <v>0.0527179940031675</v>
      </c>
      <c r="BU136" s="197" t="n">
        <f aca="false">Algae_yield_cost_factor/AC136</f>
        <v>0.0526044260059187</v>
      </c>
    </row>
    <row r="137" customFormat="false" ht="15" hidden="false" customHeight="false" outlineLevel="0" collapsed="false">
      <c r="A137" s="18" t="s">
        <v>712</v>
      </c>
      <c r="B137" s="18" t="s">
        <v>22</v>
      </c>
      <c r="C137" s="18" t="s">
        <v>690</v>
      </c>
      <c r="D137" s="18" t="s">
        <v>690</v>
      </c>
      <c r="E137" s="28" t="n">
        <v>7.577327</v>
      </c>
      <c r="F137" s="185" t="n">
        <f aca="false">E137/$B$2*$F$3/1000</f>
        <v>0.01856445115</v>
      </c>
      <c r="G137" s="18" t="n">
        <f aca="false">LOOKUP(RIGHT(D137,5),Ref!$C$4:$C$21,Ref!$E$4:$E$21)*$G$3</f>
        <v>1.5</v>
      </c>
      <c r="H137" s="218" t="n">
        <f aca="false">$E137</f>
        <v>7.577327</v>
      </c>
      <c r="I137" s="177" t="n">
        <f aca="false">$E137</f>
        <v>7.577327</v>
      </c>
      <c r="J137" s="177" t="n">
        <f aca="false">$E137</f>
        <v>7.577327</v>
      </c>
      <c r="K137" s="177" t="n">
        <f aca="false">$E137</f>
        <v>7.577327</v>
      </c>
      <c r="L137" s="177" t="n">
        <f aca="false">$E137</f>
        <v>7.577327</v>
      </c>
      <c r="M137" s="177" t="n">
        <f aca="false">M$3*$E137</f>
        <v>7.93668834932695</v>
      </c>
      <c r="N137" s="177" t="n">
        <f aca="false">N$3*$E137</f>
        <v>8.15212923564583</v>
      </c>
      <c r="O137" s="177" t="n">
        <f aca="false">O$3*$E137</f>
        <v>8.48056651951709</v>
      </c>
      <c r="P137" s="177" t="n">
        <f aca="false">P$3*$E137</f>
        <v>8.95962484702705</v>
      </c>
      <c r="Q137" s="177" t="n">
        <f aca="false">Q$3*$E137</f>
        <v>9.61518409356524</v>
      </c>
      <c r="R137" s="177" t="n">
        <f aca="false">R$3*$E137</f>
        <v>10.4380761032822</v>
      </c>
      <c r="S137" s="177" t="n">
        <f aca="false">S$3*$E137</f>
        <v>11.3659905</v>
      </c>
      <c r="T137" s="177" t="n">
        <f aca="false">T$3*$E137</f>
        <v>12.2939048967178</v>
      </c>
      <c r="U137" s="177" t="n">
        <f aca="false">U$3*$E137</f>
        <v>13.1167969064348</v>
      </c>
      <c r="V137" s="177" t="n">
        <f aca="false">V$3*$E137</f>
        <v>13.772356152973</v>
      </c>
      <c r="W137" s="177" t="n">
        <f aca="false">W$3*$E137</f>
        <v>14.2514144804829</v>
      </c>
      <c r="X137" s="177" t="n">
        <f aca="false">X$3*$E137</f>
        <v>14.5798517643542</v>
      </c>
      <c r="Y137" s="177" t="n">
        <f aca="false">Y$3*$E137</f>
        <v>14.795292650673</v>
      </c>
      <c r="Z137" s="177" t="n">
        <f aca="false">Z$3*$E137</f>
        <v>14.9325456424975</v>
      </c>
      <c r="AA137" s="177" t="n">
        <f aca="false">AA$3*$E137</f>
        <v>15.0183666056266</v>
      </c>
      <c r="AB137" s="177" t="n">
        <f aca="false">AB$3*$E137</f>
        <v>15.0714023429578</v>
      </c>
      <c r="AC137" s="177" t="n">
        <f aca="false">AC$3*$E137</f>
        <v>15.1039400799844</v>
      </c>
      <c r="AD137" s="219" t="n">
        <f aca="false">Algae_electricity_factor/H137</f>
        <v>0.00181377906793903</v>
      </c>
      <c r="AE137" s="220" t="n">
        <f aca="false">Algae_electricity_factor/I137</f>
        <v>0.00181377906793903</v>
      </c>
      <c r="AF137" s="220" t="n">
        <f aca="false">Algae_electricity_factor/J137</f>
        <v>0.00181377906793903</v>
      </c>
      <c r="AG137" s="220" t="n">
        <f aca="false">Algae_electricity_factor/K137</f>
        <v>0.00181377906793903</v>
      </c>
      <c r="AH137" s="220" t="n">
        <f aca="false">Algae_electricity_factor/L137</f>
        <v>0.00181377906793903</v>
      </c>
      <c r="AI137" s="220" t="n">
        <f aca="false">Algae_electricity_factor/M137</f>
        <v>0.00173165387106258</v>
      </c>
      <c r="AJ137" s="220" t="n">
        <f aca="false">Algae_electricity_factor/N137</f>
        <v>0.00168589048410007</v>
      </c>
      <c r="AK137" s="220" t="n">
        <f aca="false">Algae_electricity_factor/O137</f>
        <v>0.00162059893898596</v>
      </c>
      <c r="AL137" s="220" t="n">
        <f aca="false">Algae_electricity_factor/P137</f>
        <v>0.00153394783131903</v>
      </c>
      <c r="AM137" s="220" t="n">
        <f aca="false">Algae_electricity_factor/Q137</f>
        <v>0.00142936390710677</v>
      </c>
      <c r="AN137" s="220" t="n">
        <f aca="false">Algae_electricity_factor/R137</f>
        <v>0.00131667914350688</v>
      </c>
      <c r="AO137" s="220" t="n">
        <f aca="false">Algae_electricity_factor/S137</f>
        <v>0.00120918604529269</v>
      </c>
      <c r="AP137" s="220" t="n">
        <f aca="false">Algae_electricity_factor/T137</f>
        <v>0.00111791958852704</v>
      </c>
      <c r="AQ137" s="220" t="n">
        <f aca="false">Algae_electricity_factor/U137</f>
        <v>0.00104778607167326</v>
      </c>
      <c r="AR137" s="220" t="n">
        <f aca="false">Algae_electricity_factor/V137</f>
        <v>0.000997911827930947</v>
      </c>
      <c r="AS137" s="220" t="n">
        <f aca="false">Algae_electricity_factor/W137</f>
        <v>0.000964367229817847</v>
      </c>
      <c r="AT137" s="220" t="n">
        <f aca="false">Algae_electricity_factor/X137</f>
        <v>0.000942643130098932</v>
      </c>
      <c r="AU137" s="220" t="n">
        <f aca="false">Algae_electricity_factor/Y137</f>
        <v>0.000928916881066496</v>
      </c>
      <c r="AV137" s="220" t="n">
        <f aca="false">Algae_electricity_factor/Z137</f>
        <v>0.000920378710540515</v>
      </c>
      <c r="AW137" s="220" t="n">
        <f aca="false">Algae_electricity_factor/AA137</f>
        <v>0.000915119297885582</v>
      </c>
      <c r="AX137" s="220" t="n">
        <f aca="false">Algae_electricity_factor/AB137</f>
        <v>0.000911899025106385</v>
      </c>
      <c r="AY137" s="220" t="n">
        <f aca="false">Algae_electricity_factor/AC137</f>
        <v>0.000909934562157202</v>
      </c>
      <c r="AZ137" s="221" t="n">
        <f aca="false">Algae_yield_cost_factor/H137</f>
        <v>0.100410424320637</v>
      </c>
      <c r="BA137" s="197" t="n">
        <f aca="false">Algae_yield_cost_factor/I137</f>
        <v>0.100410424320637</v>
      </c>
      <c r="BB137" s="197" t="n">
        <f aca="false">Algae_yield_cost_factor/J137</f>
        <v>0.100410424320637</v>
      </c>
      <c r="BC137" s="197" t="n">
        <f aca="false">Algae_yield_cost_factor/K137</f>
        <v>0.100410424320637</v>
      </c>
      <c r="BD137" s="197" t="n">
        <f aca="false">Algae_yield_cost_factor/L137</f>
        <v>0.100410424320637</v>
      </c>
      <c r="BE137" s="197" t="n">
        <f aca="false">Algae_yield_cost_factor/M137</f>
        <v>0.0958639908483667</v>
      </c>
      <c r="BF137" s="197" t="n">
        <f aca="false">Algae_yield_cost_factor/N137</f>
        <v>0.093330539457026</v>
      </c>
      <c r="BG137" s="197" t="n">
        <f aca="false">Algae_yield_cost_factor/O137</f>
        <v>0.0897160133742507</v>
      </c>
      <c r="BH137" s="197" t="n">
        <f aca="false">Algae_yield_cost_factor/P137</f>
        <v>0.0849190264410098</v>
      </c>
      <c r="BI137" s="197" t="n">
        <f aca="false">Algae_yield_cost_factor/Q137</f>
        <v>0.0791292825891285</v>
      </c>
      <c r="BJ137" s="197" t="n">
        <f aca="false">Algae_yield_cost_factor/R137</f>
        <v>0.072891077987731</v>
      </c>
      <c r="BK137" s="197" t="n">
        <f aca="false">Algae_yield_cost_factor/S137</f>
        <v>0.0669402828804245</v>
      </c>
      <c r="BL137" s="197" t="n">
        <f aca="false">Algae_yield_cost_factor/T137</f>
        <v>0.0618877912004467</v>
      </c>
      <c r="BM137" s="197" t="n">
        <f aca="false">Algae_yield_cost_factor/U137</f>
        <v>0.0580052145896204</v>
      </c>
      <c r="BN137" s="197" t="n">
        <f aca="false">Algae_yield_cost_factor/V137</f>
        <v>0.0552441870392656</v>
      </c>
      <c r="BO137" s="197" t="n">
        <f aca="false">Algae_yield_cost_factor/W137</f>
        <v>0.0533871652058243</v>
      </c>
      <c r="BP137" s="197" t="n">
        <f aca="false">Algae_yield_cost_factor/X137</f>
        <v>0.0521845236551978</v>
      </c>
      <c r="BQ137" s="197" t="n">
        <f aca="false">Algae_yield_cost_factor/Y137</f>
        <v>0.0514246414214461</v>
      </c>
      <c r="BR137" s="197" t="n">
        <f aca="false">Algae_yield_cost_factor/Z137</f>
        <v>0.0509519701129113</v>
      </c>
      <c r="BS137" s="197" t="n">
        <f aca="false">Algae_yield_cost_factor/AA137</f>
        <v>0.0506608101443716</v>
      </c>
      <c r="BT137" s="197" t="n">
        <f aca="false">Algae_yield_cost_factor/AB137</f>
        <v>0.050482536526651</v>
      </c>
      <c r="BU137" s="197" t="n">
        <f aca="false">Algae_yield_cost_factor/AC137</f>
        <v>0.0503737842746395</v>
      </c>
    </row>
    <row r="138" customFormat="false" ht="15" hidden="false" customHeight="false" outlineLevel="0" collapsed="false">
      <c r="A138" s="18" t="s">
        <v>712</v>
      </c>
      <c r="B138" s="18" t="s">
        <v>22</v>
      </c>
      <c r="C138" s="18" t="s">
        <v>692</v>
      </c>
      <c r="D138" s="18" t="s">
        <v>692</v>
      </c>
      <c r="E138" s="28" t="n">
        <v>5.584865</v>
      </c>
      <c r="F138" s="185" t="n">
        <f aca="false">E138/$B$2*$F$3/1000</f>
        <v>0.01368291925</v>
      </c>
      <c r="G138" s="18" t="n">
        <f aca="false">LOOKUP(RIGHT(D138,5),Ref!$C$4:$C$21,Ref!$E$4:$E$21)*$G$3</f>
        <v>2.5</v>
      </c>
      <c r="H138" s="218" t="n">
        <f aca="false">$E138</f>
        <v>5.584865</v>
      </c>
      <c r="I138" s="177" t="n">
        <f aca="false">$E138</f>
        <v>5.584865</v>
      </c>
      <c r="J138" s="177" t="n">
        <f aca="false">$E138</f>
        <v>5.584865</v>
      </c>
      <c r="K138" s="177" t="n">
        <f aca="false">$E138</f>
        <v>5.584865</v>
      </c>
      <c r="L138" s="177" t="n">
        <f aca="false">$E138</f>
        <v>5.584865</v>
      </c>
      <c r="M138" s="177" t="n">
        <f aca="false">M$3*$E138</f>
        <v>5.84973209920383</v>
      </c>
      <c r="N138" s="177" t="n">
        <f aca="false">N$3*$E138</f>
        <v>6.00852269456434</v>
      </c>
      <c r="O138" s="177" t="n">
        <f aca="false">O$3*$E138</f>
        <v>6.25059722709905</v>
      </c>
      <c r="P138" s="177" t="n">
        <f aca="false">P$3*$E138</f>
        <v>6.60368692301279</v>
      </c>
      <c r="Q138" s="177" t="n">
        <f aca="false">Q$3*$E138</f>
        <v>7.08686653125954</v>
      </c>
      <c r="R138" s="177" t="n">
        <f aca="false">R$3*$E138</f>
        <v>7.69337866724735</v>
      </c>
      <c r="S138" s="177" t="n">
        <f aca="false">S$3*$E138</f>
        <v>8.3772975</v>
      </c>
      <c r="T138" s="177" t="n">
        <f aca="false">T$3*$E138</f>
        <v>9.06121633275265</v>
      </c>
      <c r="U138" s="177" t="n">
        <f aca="false">U$3*$E138</f>
        <v>9.66772846874046</v>
      </c>
      <c r="V138" s="177" t="n">
        <f aca="false">V$3*$E138</f>
        <v>10.1509080769872</v>
      </c>
      <c r="W138" s="177" t="n">
        <f aca="false">W$3*$E138</f>
        <v>10.5039977729009</v>
      </c>
      <c r="X138" s="177" t="n">
        <f aca="false">X$3*$E138</f>
        <v>10.7460723054357</v>
      </c>
      <c r="Y138" s="177" t="n">
        <f aca="false">Y$3*$E138</f>
        <v>10.9048629007962</v>
      </c>
      <c r="Z138" s="177" t="n">
        <f aca="false">Z$3*$E138</f>
        <v>11.0060251484048</v>
      </c>
      <c r="AA138" s="177" t="n">
        <f aca="false">AA$3*$E138</f>
        <v>11.0692794455001</v>
      </c>
      <c r="AB138" s="177" t="n">
        <f aca="false">AB$3*$E138</f>
        <v>11.1083694086454</v>
      </c>
      <c r="AC138" s="177" t="n">
        <f aca="false">AC$3*$E138</f>
        <v>11.1323513311227</v>
      </c>
      <c r="AD138" s="219" t="n">
        <f aca="false">Algae_electricity_factor/H138</f>
        <v>0.00246086469476509</v>
      </c>
      <c r="AE138" s="220" t="n">
        <f aca="false">Algae_electricity_factor/I138</f>
        <v>0.00246086469476509</v>
      </c>
      <c r="AF138" s="220" t="n">
        <f aca="false">Algae_electricity_factor/J138</f>
        <v>0.00246086469476509</v>
      </c>
      <c r="AG138" s="220" t="n">
        <f aca="false">Algae_electricity_factor/K138</f>
        <v>0.00246086469476509</v>
      </c>
      <c r="AH138" s="220" t="n">
        <f aca="false">Algae_electricity_factor/L138</f>
        <v>0.00246086469476509</v>
      </c>
      <c r="AI138" s="220" t="n">
        <f aca="false">Algae_electricity_factor/M138</f>
        <v>0.0023494404308532</v>
      </c>
      <c r="AJ138" s="220" t="n">
        <f aca="false">Algae_electricity_factor/N138</f>
        <v>0.00228735045237701</v>
      </c>
      <c r="AK138" s="220" t="n">
        <f aca="false">Algae_electricity_factor/O138</f>
        <v>0.00219876543059674</v>
      </c>
      <c r="AL138" s="220" t="n">
        <f aca="false">Algae_electricity_factor/P138</f>
        <v>0.0020812005874529</v>
      </c>
      <c r="AM138" s="220" t="n">
        <f aca="false">Algae_electricity_factor/Q138</f>
        <v>0.00193930519827169</v>
      </c>
      <c r="AN138" s="220" t="n">
        <f aca="false">Algae_electricity_factor/R138</f>
        <v>0.00178641890617437</v>
      </c>
      <c r="AO138" s="220" t="n">
        <f aca="false">Algae_electricity_factor/S138</f>
        <v>0.00164057646317673</v>
      </c>
      <c r="AP138" s="220" t="n">
        <f aca="false">Algae_electricity_factor/T138</f>
        <v>0.00151674969439276</v>
      </c>
      <c r="AQ138" s="220" t="n">
        <f aca="false">Algae_electricity_factor/U138</f>
        <v>0.00142159527421231</v>
      </c>
      <c r="AR138" s="220" t="n">
        <f aca="false">Algae_electricity_factor/V138</f>
        <v>0.00135392784559708</v>
      </c>
      <c r="AS138" s="220" t="n">
        <f aca="false">Algae_electricity_factor/W138</f>
        <v>0.00130841584325028</v>
      </c>
      <c r="AT138" s="220" t="n">
        <f aca="false">Algae_electricity_factor/X138</f>
        <v>0.00127894143207815</v>
      </c>
      <c r="AU138" s="220" t="n">
        <f aca="false">Algae_electricity_factor/Y138</f>
        <v>0.00126031819276938</v>
      </c>
      <c r="AV138" s="220" t="n">
        <f aca="false">Algae_electricity_factor/Z138</f>
        <v>0.00124873393602242</v>
      </c>
      <c r="AW138" s="220" t="n">
        <f aca="false">Algae_electricity_factor/AA138</f>
        <v>0.00124159817007026</v>
      </c>
      <c r="AX138" s="220" t="n">
        <f aca="false">Algae_electricity_factor/AB138</f>
        <v>0.00123722902956693</v>
      </c>
      <c r="AY138" s="220" t="n">
        <f aca="false">Algae_electricity_factor/AC138</f>
        <v>0.00123456372285936</v>
      </c>
      <c r="AZ138" s="221" t="n">
        <f aca="false">Algae_yield_cost_factor/H138</f>
        <v>0.136232947311389</v>
      </c>
      <c r="BA138" s="197" t="n">
        <f aca="false">Algae_yield_cost_factor/I138</f>
        <v>0.136232947311389</v>
      </c>
      <c r="BB138" s="197" t="n">
        <f aca="false">Algae_yield_cost_factor/J138</f>
        <v>0.136232947311389</v>
      </c>
      <c r="BC138" s="197" t="n">
        <f aca="false">Algae_yield_cost_factor/K138</f>
        <v>0.136232947311389</v>
      </c>
      <c r="BD138" s="197" t="n">
        <f aca="false">Algae_yield_cost_factor/L138</f>
        <v>0.136232947311389</v>
      </c>
      <c r="BE138" s="197" t="n">
        <f aca="false">Algae_yield_cost_factor/M138</f>
        <v>0.130064523705243</v>
      </c>
      <c r="BF138" s="197" t="n">
        <f aca="false">Algae_yield_cost_factor/N138</f>
        <v>0.126627235672176</v>
      </c>
      <c r="BG138" s="197" t="n">
        <f aca="false">Algae_yield_cost_factor/O138</f>
        <v>0.121723187663994</v>
      </c>
      <c r="BH138" s="197" t="n">
        <f aca="false">Algae_yield_cost_factor/P138</f>
        <v>0.115214822894587</v>
      </c>
      <c r="BI138" s="197" t="n">
        <f aca="false">Algae_yield_cost_factor/Q138</f>
        <v>0.107359524259446</v>
      </c>
      <c r="BJ138" s="197" t="n">
        <f aca="false">Algae_yield_cost_factor/R138</f>
        <v>0.0988957715711195</v>
      </c>
      <c r="BK138" s="197" t="n">
        <f aca="false">Algae_yield_cost_factor/S138</f>
        <v>0.090821964874259</v>
      </c>
      <c r="BL138" s="197" t="n">
        <f aca="false">Algae_yield_cost_factor/T138</f>
        <v>0.0839669412301832</v>
      </c>
      <c r="BM138" s="197" t="n">
        <f aca="false">Algae_yield_cost_factor/U138</f>
        <v>0.0786992127205805</v>
      </c>
      <c r="BN138" s="197" t="n">
        <f aca="false">Algae_yield_cost_factor/V138</f>
        <v>0.0749531582313408</v>
      </c>
      <c r="BO138" s="197" t="n">
        <f aca="false">Algae_yield_cost_factor/W138</f>
        <v>0.0724336234389825</v>
      </c>
      <c r="BP138" s="197" t="n">
        <f aca="false">Algae_yield_cost_factor/X138</f>
        <v>0.0708019262909075</v>
      </c>
      <c r="BQ138" s="197" t="n">
        <f aca="false">Algae_yield_cost_factor/Y138</f>
        <v>0.0697709477145896</v>
      </c>
      <c r="BR138" s="197" t="n">
        <f aca="false">Algae_yield_cost_factor/Z138</f>
        <v>0.0691296457192351</v>
      </c>
      <c r="BS138" s="197" t="n">
        <f aca="false">Algae_yield_cost_factor/AA138</f>
        <v>0.0687346112303199</v>
      </c>
      <c r="BT138" s="197" t="n">
        <f aca="false">Algae_yield_cost_factor/AB138</f>
        <v>0.0684927365391784</v>
      </c>
      <c r="BU138" s="197" t="n">
        <f aca="false">Algae_yield_cost_factor/AC138</f>
        <v>0.0683451857254207</v>
      </c>
    </row>
    <row r="139" customFormat="false" ht="15" hidden="false" customHeight="false" outlineLevel="0" collapsed="false">
      <c r="A139" s="18" t="s">
        <v>712</v>
      </c>
      <c r="B139" s="18" t="s">
        <v>22</v>
      </c>
      <c r="C139" s="18" t="s">
        <v>683</v>
      </c>
      <c r="D139" s="18" t="s">
        <v>683</v>
      </c>
      <c r="E139" s="28" t="n">
        <v>6.928065</v>
      </c>
      <c r="F139" s="185" t="n">
        <f aca="false">E139/$B$2*$F$3/1000</f>
        <v>0.01697375925</v>
      </c>
      <c r="G139" s="18" t="n">
        <f aca="false">LOOKUP(RIGHT(D139,5),Ref!$C$4:$C$21,Ref!$E$4:$E$21)*$G$3</f>
        <v>3</v>
      </c>
      <c r="H139" s="218" t="n">
        <f aca="false">$E139</f>
        <v>6.928065</v>
      </c>
      <c r="I139" s="177" t="n">
        <f aca="false">$E139</f>
        <v>6.928065</v>
      </c>
      <c r="J139" s="177" t="n">
        <f aca="false">$E139</f>
        <v>6.928065</v>
      </c>
      <c r="K139" s="177" t="n">
        <f aca="false">$E139</f>
        <v>6.928065</v>
      </c>
      <c r="L139" s="177" t="n">
        <f aca="false">$E139</f>
        <v>6.928065</v>
      </c>
      <c r="M139" s="177" t="n">
        <f aca="false">M$3*$E139</f>
        <v>7.25663453205594</v>
      </c>
      <c r="N139" s="177" t="n">
        <f aca="false">N$3*$E139</f>
        <v>7.45361540196888</v>
      </c>
      <c r="O139" s="177" t="n">
        <f aca="false">O$3*$E139</f>
        <v>7.75391059195916</v>
      </c>
      <c r="P139" s="177" t="n">
        <f aca="false">P$3*$E139</f>
        <v>8.19192088658948</v>
      </c>
      <c r="Q139" s="177" t="n">
        <f aca="false">Q$3*$E139</f>
        <v>8.79130864844372</v>
      </c>
      <c r="R139" s="177" t="n">
        <f aca="false">R$3*$E139</f>
        <v>9.54369129357703</v>
      </c>
      <c r="S139" s="177" t="n">
        <f aca="false">S$3*$E139</f>
        <v>10.3920975</v>
      </c>
      <c r="T139" s="177" t="n">
        <f aca="false">T$3*$E139</f>
        <v>11.240503706423</v>
      </c>
      <c r="U139" s="177" t="n">
        <f aca="false">U$3*$E139</f>
        <v>11.9928863515563</v>
      </c>
      <c r="V139" s="177" t="n">
        <f aca="false">V$3*$E139</f>
        <v>12.5922741134105</v>
      </c>
      <c r="W139" s="177" t="n">
        <f aca="false">W$3*$E139</f>
        <v>13.0302844080408</v>
      </c>
      <c r="X139" s="177" t="n">
        <f aca="false">X$3*$E139</f>
        <v>13.3305795980311</v>
      </c>
      <c r="Y139" s="177" t="n">
        <f aca="false">Y$3*$E139</f>
        <v>13.5275604679441</v>
      </c>
      <c r="Z139" s="177" t="n">
        <f aca="false">Z$3*$E139</f>
        <v>13.6530529600596</v>
      </c>
      <c r="AA139" s="177" t="n">
        <f aca="false">AA$3*$E139</f>
        <v>13.731520368279</v>
      </c>
      <c r="AB139" s="177" t="n">
        <f aca="false">AB$3*$E139</f>
        <v>13.780011747304</v>
      </c>
      <c r="AC139" s="177" t="n">
        <f aca="false">AC$3*$E139</f>
        <v>13.8097614937612</v>
      </c>
      <c r="AD139" s="219" t="n">
        <f aca="false">Algae_electricity_factor/H139</f>
        <v>0.00198375695140407</v>
      </c>
      <c r="AE139" s="220" t="n">
        <f aca="false">Algae_electricity_factor/I139</f>
        <v>0.00198375695140407</v>
      </c>
      <c r="AF139" s="220" t="n">
        <f aca="false">Algae_electricity_factor/J139</f>
        <v>0.00198375695140407</v>
      </c>
      <c r="AG139" s="220" t="n">
        <f aca="false">Algae_electricity_factor/K139</f>
        <v>0.00198375695140407</v>
      </c>
      <c r="AH139" s="220" t="n">
        <f aca="false">Algae_electricity_factor/L139</f>
        <v>0.00198375695140407</v>
      </c>
      <c r="AI139" s="220" t="n">
        <f aca="false">Algae_electricity_factor/M139</f>
        <v>0.00189393541080474</v>
      </c>
      <c r="AJ139" s="220" t="n">
        <f aca="false">Algae_electricity_factor/N139</f>
        <v>0.00184388331867766</v>
      </c>
      <c r="AK139" s="220" t="n">
        <f aca="false">Algae_electricity_factor/O139</f>
        <v>0.00177247299160006</v>
      </c>
      <c r="AL139" s="220" t="n">
        <f aca="false">Algae_electricity_factor/P139</f>
        <v>0.00167770139553326</v>
      </c>
      <c r="AM139" s="220" t="n">
        <f aca="false">Algae_electricity_factor/Q139</f>
        <v>0.00156331641318977</v>
      </c>
      <c r="AN139" s="220" t="n">
        <f aca="false">Algae_electricity_factor/R139</f>
        <v>0.00144007142317971</v>
      </c>
      <c r="AO139" s="220" t="n">
        <f aca="false">Algae_electricity_factor/S139</f>
        <v>0.00132250463426938</v>
      </c>
      <c r="AP139" s="220" t="n">
        <f aca="false">Algae_electricity_factor/T139</f>
        <v>0.00122268516273661</v>
      </c>
      <c r="AQ139" s="220" t="n">
        <f aca="false">Algae_electricity_factor/U139</f>
        <v>0.00114597909966401</v>
      </c>
      <c r="AR139" s="220" t="n">
        <f aca="false">Algae_electricity_factor/V139</f>
        <v>0.00109143090277018</v>
      </c>
      <c r="AS139" s="220" t="n">
        <f aca="false">Algae_electricity_factor/W139</f>
        <v>0.00105474268044742</v>
      </c>
      <c r="AT139" s="220" t="n">
        <f aca="false">Algae_electricity_factor/X139</f>
        <v>0.0010309827117764</v>
      </c>
      <c r="AU139" s="220" t="n">
        <f aca="false">Algae_electricity_factor/Y139</f>
        <v>0.00101597011050863</v>
      </c>
      <c r="AV139" s="220" t="n">
        <f aca="false">Algae_electricity_factor/Z139</f>
        <v>0.00100663178731779</v>
      </c>
      <c r="AW139" s="220" t="n">
        <f aca="false">Algae_electricity_factor/AA139</f>
        <v>0.00100087949002925</v>
      </c>
      <c r="AX139" s="220" t="n">
        <f aca="false">Algae_electricity_factor/AB139</f>
        <v>0.000997357430135584</v>
      </c>
      <c r="AY139" s="220" t="n">
        <f aca="false">Algae_electricity_factor/AC139</f>
        <v>0.000995208867998055</v>
      </c>
      <c r="AZ139" s="221" t="n">
        <f aca="false">Algae_yield_cost_factor/H139</f>
        <v>0.109820363880278</v>
      </c>
      <c r="BA139" s="197" t="n">
        <f aca="false">Algae_yield_cost_factor/I139</f>
        <v>0.109820363880278</v>
      </c>
      <c r="BB139" s="197" t="n">
        <f aca="false">Algae_yield_cost_factor/J139</f>
        <v>0.109820363880278</v>
      </c>
      <c r="BC139" s="197" t="n">
        <f aca="false">Algae_yield_cost_factor/K139</f>
        <v>0.109820363880278</v>
      </c>
      <c r="BD139" s="197" t="n">
        <f aca="false">Algae_yield_cost_factor/L139</f>
        <v>0.109820363880278</v>
      </c>
      <c r="BE139" s="197" t="n">
        <f aca="false">Algae_yield_cost_factor/M139</f>
        <v>0.104847862452659</v>
      </c>
      <c r="BF139" s="197" t="n">
        <f aca="false">Algae_yield_cost_factor/N139</f>
        <v>0.102076989253462</v>
      </c>
      <c r="BG139" s="197" t="n">
        <f aca="false">Algae_yield_cost_factor/O139</f>
        <v>0.0981237286995822</v>
      </c>
      <c r="BH139" s="197" t="n">
        <f aca="false">Algae_yield_cost_factor/P139</f>
        <v>0.0928771932516766</v>
      </c>
      <c r="BI139" s="197" t="n">
        <f aca="false">Algae_yield_cost_factor/Q139</f>
        <v>0.0865448649014167</v>
      </c>
      <c r="BJ139" s="197" t="n">
        <f aca="false">Algae_yield_cost_factor/R139</f>
        <v>0.079722048406812</v>
      </c>
      <c r="BK139" s="197" t="n">
        <f aca="false">Algae_yield_cost_factor/S139</f>
        <v>0.0732135759201853</v>
      </c>
      <c r="BL139" s="197" t="n">
        <f aca="false">Algae_yield_cost_factor/T139</f>
        <v>0.0676875911576331</v>
      </c>
      <c r="BM139" s="197" t="n">
        <f aca="false">Algae_yield_cost_factor/U139</f>
        <v>0.0634411597828145</v>
      </c>
      <c r="BN139" s="197" t="n">
        <f aca="false">Algae_yield_cost_factor/V139</f>
        <v>0.060421383177796</v>
      </c>
      <c r="BO139" s="197" t="n">
        <f aca="false">Algae_yield_cost_factor/W139</f>
        <v>0.0583903309751789</v>
      </c>
      <c r="BP139" s="197" t="n">
        <f aca="false">Algae_yield_cost_factor/X139</f>
        <v>0.0570749841513711</v>
      </c>
      <c r="BQ139" s="197" t="n">
        <f aca="false">Algae_yield_cost_factor/Y139</f>
        <v>0.0562438897308327</v>
      </c>
      <c r="BR139" s="197" t="n">
        <f aca="false">Algae_yield_cost_factor/Z139</f>
        <v>0.0557269221405625</v>
      </c>
      <c r="BS139" s="197" t="n">
        <f aca="false">Algae_yield_cost_factor/AA139</f>
        <v>0.0554084761832951</v>
      </c>
      <c r="BT139" s="197" t="n">
        <f aca="false">Algae_yield_cost_factor/AB139</f>
        <v>0.0552134956949565</v>
      </c>
      <c r="BU139" s="197" t="n">
        <f aca="false">Algae_yield_cost_factor/AC139</f>
        <v>0.0550945517509437</v>
      </c>
    </row>
    <row r="140" customFormat="false" ht="15" hidden="false" customHeight="false" outlineLevel="0" collapsed="false">
      <c r="A140" s="18" t="s">
        <v>712</v>
      </c>
      <c r="B140" s="18" t="s">
        <v>22</v>
      </c>
      <c r="C140" s="18" t="s">
        <v>684</v>
      </c>
      <c r="D140" s="18" t="s">
        <v>684</v>
      </c>
      <c r="E140" s="28" t="n">
        <v>6.61115375</v>
      </c>
      <c r="F140" s="185" t="n">
        <f aca="false">E140/$B$2*$F$3/1000</f>
        <v>0.0161973266875</v>
      </c>
      <c r="G140" s="18" t="n">
        <f aca="false">LOOKUP(RIGHT(D140,5),Ref!$C$4:$C$21,Ref!$E$4:$E$21)*$G$3</f>
        <v>3.5</v>
      </c>
      <c r="H140" s="218" t="n">
        <f aca="false">$E140</f>
        <v>6.61115375</v>
      </c>
      <c r="I140" s="177" t="n">
        <f aca="false">$E140</f>
        <v>6.61115375</v>
      </c>
      <c r="J140" s="177" t="n">
        <f aca="false">$E140</f>
        <v>6.61115375</v>
      </c>
      <c r="K140" s="177" t="n">
        <f aca="false">$E140</f>
        <v>6.61115375</v>
      </c>
      <c r="L140" s="177" t="n">
        <f aca="false">$E140</f>
        <v>6.61115375</v>
      </c>
      <c r="M140" s="177" t="n">
        <f aca="false">M$3*$E140</f>
        <v>6.9246934893049</v>
      </c>
      <c r="N140" s="177" t="n">
        <f aca="false">N$3*$E140</f>
        <v>7.11266384131562</v>
      </c>
      <c r="O140" s="177" t="n">
        <f aca="false">O$3*$E140</f>
        <v>7.39922259493748</v>
      </c>
      <c r="P140" s="177" t="n">
        <f aca="false">P$3*$E140</f>
        <v>7.81719693580811</v>
      </c>
      <c r="Q140" s="177" t="n">
        <f aca="false">Q$3*$E140</f>
        <v>8.38916683642057</v>
      </c>
      <c r="R140" s="177" t="n">
        <f aca="false">R$3*$E140</f>
        <v>9.10713315830237</v>
      </c>
      <c r="S140" s="177" t="n">
        <f aca="false">S$3*$E140</f>
        <v>9.916730625</v>
      </c>
      <c r="T140" s="177" t="n">
        <f aca="false">T$3*$E140</f>
        <v>10.7263280916976</v>
      </c>
      <c r="U140" s="177" t="n">
        <f aca="false">U$3*$E140</f>
        <v>11.4442944135794</v>
      </c>
      <c r="V140" s="177" t="n">
        <f aca="false">V$3*$E140</f>
        <v>12.0162643141919</v>
      </c>
      <c r="W140" s="177" t="n">
        <f aca="false">W$3*$E140</f>
        <v>12.4342386550625</v>
      </c>
      <c r="X140" s="177" t="n">
        <f aca="false">X$3*$E140</f>
        <v>12.7207974086844</v>
      </c>
      <c r="Y140" s="177" t="n">
        <f aca="false">Y$3*$E140</f>
        <v>12.9087677606951</v>
      </c>
      <c r="Z140" s="177" t="n">
        <f aca="false">Z$3*$E140</f>
        <v>13.0285198357473</v>
      </c>
      <c r="AA140" s="177" t="n">
        <f aca="false">AA$3*$E140</f>
        <v>13.1033979005608</v>
      </c>
      <c r="AB140" s="177" t="n">
        <f aca="false">AB$3*$E140</f>
        <v>13.1496711330267</v>
      </c>
      <c r="AC140" s="177" t="n">
        <f aca="false">AC$3*$E140</f>
        <v>13.1780600335137</v>
      </c>
      <c r="AD140" s="219" t="n">
        <f aca="false">Algae_electricity_factor/H140</f>
        <v>0.00207885001971543</v>
      </c>
      <c r="AE140" s="220" t="n">
        <f aca="false">Algae_electricity_factor/I140</f>
        <v>0.00207885001971543</v>
      </c>
      <c r="AF140" s="220" t="n">
        <f aca="false">Algae_electricity_factor/J140</f>
        <v>0.00207885001971543</v>
      </c>
      <c r="AG140" s="220" t="n">
        <f aca="false">Algae_electricity_factor/K140</f>
        <v>0.00207885001971543</v>
      </c>
      <c r="AH140" s="220" t="n">
        <f aca="false">Algae_electricity_factor/L140</f>
        <v>0.00207885001971543</v>
      </c>
      <c r="AI140" s="220" t="n">
        <f aca="false">Algae_electricity_factor/M140</f>
        <v>0.00198472280755185</v>
      </c>
      <c r="AJ140" s="220" t="n">
        <f aca="false">Algae_electricity_factor/N140</f>
        <v>0.00193227142602976</v>
      </c>
      <c r="AK140" s="220" t="n">
        <f aca="false">Algae_electricity_factor/O140</f>
        <v>0.00185743798448942</v>
      </c>
      <c r="AL140" s="220" t="n">
        <f aca="false">Algae_electricity_factor/P140</f>
        <v>0.00175812343176033</v>
      </c>
      <c r="AM140" s="220" t="n">
        <f aca="false">Algae_electricity_factor/Q140</f>
        <v>0.00163825530848464</v>
      </c>
      <c r="AN140" s="220" t="n">
        <f aca="false">Algae_electricity_factor/R140</f>
        <v>0.00150910246557668</v>
      </c>
      <c r="AO140" s="220" t="n">
        <f aca="false">Algae_electricity_factor/S140</f>
        <v>0.00138590001314362</v>
      </c>
      <c r="AP140" s="220" t="n">
        <f aca="false">Algae_electricity_factor/T140</f>
        <v>0.0012812956107661</v>
      </c>
      <c r="AQ140" s="220" t="n">
        <f aca="false">Algae_electricity_factor/U140</f>
        <v>0.00120091257764407</v>
      </c>
      <c r="AR140" s="220" t="n">
        <f aca="false">Algae_electricity_factor/V140</f>
        <v>0.00114374956676821</v>
      </c>
      <c r="AS140" s="220" t="n">
        <f aca="false">Algae_electricity_factor/W140</f>
        <v>0.00110530266345931</v>
      </c>
      <c r="AT140" s="220" t="n">
        <f aca="false">Algae_electricity_factor/X140</f>
        <v>0.00108040374058207</v>
      </c>
      <c r="AU140" s="220" t="n">
        <f aca="false">Algae_electricity_factor/Y140</f>
        <v>0.00106467149756742</v>
      </c>
      <c r="AV140" s="220" t="n">
        <f aca="false">Algae_electricity_factor/Z140</f>
        <v>0.00105488553395144</v>
      </c>
      <c r="AW140" s="220" t="n">
        <f aca="false">Algae_electricity_factor/AA140</f>
        <v>0.00104885749542422</v>
      </c>
      <c r="AX140" s="220" t="n">
        <f aca="false">Algae_electricity_factor/AB140</f>
        <v>0.00104516660260885</v>
      </c>
      <c r="AY140" s="220" t="n">
        <f aca="false">Algae_electricity_factor/AC140</f>
        <v>0.00104291504732694</v>
      </c>
      <c r="AZ140" s="221" t="n">
        <f aca="false">Algae_yield_cost_factor/H140</f>
        <v>0.115084695963427</v>
      </c>
      <c r="BA140" s="197" t="n">
        <f aca="false">Algae_yield_cost_factor/I140</f>
        <v>0.115084695963427</v>
      </c>
      <c r="BB140" s="197" t="n">
        <f aca="false">Algae_yield_cost_factor/J140</f>
        <v>0.115084695963427</v>
      </c>
      <c r="BC140" s="197" t="n">
        <f aca="false">Algae_yield_cost_factor/K140</f>
        <v>0.115084695963427</v>
      </c>
      <c r="BD140" s="197" t="n">
        <f aca="false">Algae_yield_cost_factor/L140</f>
        <v>0.115084695963427</v>
      </c>
      <c r="BE140" s="197" t="n">
        <f aca="false">Algae_yield_cost_factor/M140</f>
        <v>0.109873833471666</v>
      </c>
      <c r="BF140" s="197" t="n">
        <f aca="false">Algae_yield_cost_factor/N140</f>
        <v>0.106970136120687</v>
      </c>
      <c r="BG140" s="197" t="n">
        <f aca="false">Algae_yield_cost_factor/O140</f>
        <v>0.102827372676527</v>
      </c>
      <c r="BH140" s="197" t="n">
        <f aca="false">Algae_yield_cost_factor/P140</f>
        <v>0.0973293401118038</v>
      </c>
      <c r="BI140" s="197" t="n">
        <f aca="false">Algae_yield_cost_factor/Q140</f>
        <v>0.0906934662430493</v>
      </c>
      <c r="BJ140" s="197" t="n">
        <f aca="false">Algae_yield_cost_factor/R140</f>
        <v>0.0835435922656526</v>
      </c>
      <c r="BK140" s="197" t="n">
        <f aca="false">Algae_yield_cost_factor/S140</f>
        <v>0.0767231306422844</v>
      </c>
      <c r="BL140" s="197" t="n">
        <f aca="false">Algae_yield_cost_factor/T140</f>
        <v>0.0709322531235198</v>
      </c>
      <c r="BM140" s="197" t="n">
        <f aca="false">Algae_yield_cost_factor/U140</f>
        <v>0.0664822654670109</v>
      </c>
      <c r="BN140" s="197" t="n">
        <f aca="false">Algae_yield_cost_factor/V140</f>
        <v>0.0633177333148056</v>
      </c>
      <c r="BO140" s="197" t="n">
        <f aca="false">Algae_yield_cost_factor/W140</f>
        <v>0.0611893209059845</v>
      </c>
      <c r="BP140" s="197" t="n">
        <f aca="false">Algae_yield_cost_factor/X140</f>
        <v>0.0598109218190046</v>
      </c>
      <c r="BQ140" s="197" t="n">
        <f aca="false">Algae_yield_cost_factor/Y140</f>
        <v>0.0589399881840657</v>
      </c>
      <c r="BR140" s="197" t="n">
        <f aca="false">Algae_yield_cost_factor/Z140</f>
        <v>0.0583982393148482</v>
      </c>
      <c r="BS140" s="197" t="n">
        <f aca="false">Algae_yield_cost_factor/AA140</f>
        <v>0.0580645283811196</v>
      </c>
      <c r="BT140" s="197" t="n">
        <f aca="false">Algae_yield_cost_factor/AB140</f>
        <v>0.0578602013380612</v>
      </c>
      <c r="BU140" s="197" t="n">
        <f aca="false">Algae_yield_cost_factor/AC140</f>
        <v>0.0577355557154304</v>
      </c>
    </row>
    <row r="141" customFormat="false" ht="15" hidden="false" customHeight="false" outlineLevel="0" collapsed="false">
      <c r="A141" s="18" t="s">
        <v>712</v>
      </c>
      <c r="B141" s="18" t="s">
        <v>22</v>
      </c>
      <c r="C141" s="18" t="s">
        <v>685</v>
      </c>
      <c r="D141" s="18" t="s">
        <v>685</v>
      </c>
      <c r="E141" s="28" t="n">
        <v>6.2398575</v>
      </c>
      <c r="F141" s="185" t="n">
        <f aca="false">E141/$B$2*$F$3/1000</f>
        <v>0.015287650875</v>
      </c>
      <c r="G141" s="18" t="n">
        <f aca="false">LOOKUP(RIGHT(D141,5),Ref!$C$4:$C$21,Ref!$E$4:$E$21)*$G$3</f>
        <v>4</v>
      </c>
      <c r="H141" s="218" t="n">
        <f aca="false">$E141</f>
        <v>6.2398575</v>
      </c>
      <c r="I141" s="177" t="n">
        <f aca="false">$E141</f>
        <v>6.2398575</v>
      </c>
      <c r="J141" s="177" t="n">
        <f aca="false">$E141</f>
        <v>6.2398575</v>
      </c>
      <c r="K141" s="177" t="n">
        <f aca="false">$E141</f>
        <v>6.2398575</v>
      </c>
      <c r="L141" s="177" t="n">
        <f aca="false">$E141</f>
        <v>6.2398575</v>
      </c>
      <c r="M141" s="177" t="n">
        <f aca="false">M$3*$E141</f>
        <v>6.53578819044109</v>
      </c>
      <c r="N141" s="177" t="n">
        <f aca="false">N$3*$E141</f>
        <v>6.71320173354191</v>
      </c>
      <c r="O141" s="177" t="n">
        <f aca="false">O$3*$E141</f>
        <v>6.98366674700163</v>
      </c>
      <c r="P141" s="177" t="n">
        <f aca="false">P$3*$E141</f>
        <v>7.37816677291452</v>
      </c>
      <c r="Q141" s="177" t="n">
        <f aca="false">Q$3*$E141</f>
        <v>7.91801364519623</v>
      </c>
      <c r="R141" s="177" t="n">
        <f aca="false">R$3*$E141</f>
        <v>8.59565747375513</v>
      </c>
      <c r="S141" s="177" t="n">
        <f aca="false">S$3*$E141</f>
        <v>9.35978625</v>
      </c>
      <c r="T141" s="177" t="n">
        <f aca="false">T$3*$E141</f>
        <v>10.1239150262449</v>
      </c>
      <c r="U141" s="177" t="n">
        <f aca="false">U$3*$E141</f>
        <v>10.8015588548038</v>
      </c>
      <c r="V141" s="177" t="n">
        <f aca="false">V$3*$E141</f>
        <v>11.3414057270855</v>
      </c>
      <c r="W141" s="177" t="n">
        <f aca="false">W$3*$E141</f>
        <v>11.7359057529984</v>
      </c>
      <c r="X141" s="177" t="n">
        <f aca="false">X$3*$E141</f>
        <v>12.0063707664581</v>
      </c>
      <c r="Y141" s="177" t="n">
        <f aca="false">Y$3*$E141</f>
        <v>12.1837843095589</v>
      </c>
      <c r="Z141" s="177" t="n">
        <f aca="false">Z$3*$E141</f>
        <v>12.2968108571044</v>
      </c>
      <c r="AA141" s="177" t="n">
        <f aca="false">AA$3*$E141</f>
        <v>12.3674836128715</v>
      </c>
      <c r="AB141" s="177" t="n">
        <f aca="false">AB$3*$E141</f>
        <v>12.4111580436244</v>
      </c>
      <c r="AC141" s="177" t="n">
        <f aca="false">AC$3*$E141</f>
        <v>12.4379525639637</v>
      </c>
      <c r="AD141" s="219" t="n">
        <f aca="false">Algae_electricity_factor/H141</f>
        <v>0.002202549834436</v>
      </c>
      <c r="AE141" s="220" t="n">
        <f aca="false">Algae_electricity_factor/I141</f>
        <v>0.002202549834436</v>
      </c>
      <c r="AF141" s="220" t="n">
        <f aca="false">Algae_electricity_factor/J141</f>
        <v>0.002202549834436</v>
      </c>
      <c r="AG141" s="220" t="n">
        <f aca="false">Algae_electricity_factor/K141</f>
        <v>0.002202549834436</v>
      </c>
      <c r="AH141" s="220" t="n">
        <f aca="false">Algae_electricity_factor/L141</f>
        <v>0.002202549834436</v>
      </c>
      <c r="AI141" s="220" t="n">
        <f aca="false">Algae_electricity_factor/M141</f>
        <v>0.00210282168011961</v>
      </c>
      <c r="AJ141" s="220" t="n">
        <f aca="false">Algae_electricity_factor/N141</f>
        <v>0.0020472492335305</v>
      </c>
      <c r="AK141" s="220" t="n">
        <f aca="false">Algae_electricity_factor/O141</f>
        <v>0.00196796290565124</v>
      </c>
      <c r="AL141" s="220" t="n">
        <f aca="false">Algae_electricity_factor/P141</f>
        <v>0.00186273874344809</v>
      </c>
      <c r="AM141" s="220" t="n">
        <f aca="false">Algae_electricity_factor/Q141</f>
        <v>0.00173573799179638</v>
      </c>
      <c r="AN141" s="220" t="n">
        <f aca="false">Algae_electricity_factor/R141</f>
        <v>0.00159890004289866</v>
      </c>
      <c r="AO141" s="220" t="n">
        <f aca="false">Algae_electricity_factor/S141</f>
        <v>0.00146836655629067</v>
      </c>
      <c r="AP141" s="220" t="n">
        <f aca="false">Algae_electricity_factor/T141</f>
        <v>0.00135753777742117</v>
      </c>
      <c r="AQ141" s="220" t="n">
        <f aca="false">Algae_electricity_factor/U141</f>
        <v>0.00127237163526791</v>
      </c>
      <c r="AR141" s="220" t="n">
        <f aca="false">Algae_electricity_factor/V141</f>
        <v>0.00121180719870614</v>
      </c>
      <c r="AS141" s="220" t="n">
        <f aca="false">Algae_electricity_factor/W141</f>
        <v>0.00117107255228408</v>
      </c>
      <c r="AT141" s="220" t="n">
        <f aca="false">Algae_electricity_factor/X141</f>
        <v>0.00114469204482044</v>
      </c>
      <c r="AU141" s="220" t="n">
        <f aca="false">Algae_electricity_factor/Y141</f>
        <v>0.00112802367099905</v>
      </c>
      <c r="AV141" s="220" t="n">
        <f aca="false">Algae_electricity_factor/Z141</f>
        <v>0.00111765540376584</v>
      </c>
      <c r="AW141" s="220" t="n">
        <f aca="false">Algae_electricity_factor/AA141</f>
        <v>0.00111126867305695</v>
      </c>
      <c r="AX141" s="220" t="n">
        <f aca="false">Algae_electricity_factor/AB141</f>
        <v>0.00110735815749194</v>
      </c>
      <c r="AY141" s="220" t="n">
        <f aca="false">Algae_electricity_factor/AC141</f>
        <v>0.00110497262574777</v>
      </c>
      <c r="AZ141" s="221" t="n">
        <f aca="false">Algae_yield_cost_factor/H141</f>
        <v>0.121932691457492</v>
      </c>
      <c r="BA141" s="197" t="n">
        <f aca="false">Algae_yield_cost_factor/I141</f>
        <v>0.121932691457492</v>
      </c>
      <c r="BB141" s="197" t="n">
        <f aca="false">Algae_yield_cost_factor/J141</f>
        <v>0.121932691457492</v>
      </c>
      <c r="BC141" s="197" t="n">
        <f aca="false">Algae_yield_cost_factor/K141</f>
        <v>0.121932691457492</v>
      </c>
      <c r="BD141" s="197" t="n">
        <f aca="false">Algae_yield_cost_factor/L141</f>
        <v>0.121932691457492</v>
      </c>
      <c r="BE141" s="197" t="n">
        <f aca="false">Algae_yield_cost_factor/M141</f>
        <v>0.116411761996661</v>
      </c>
      <c r="BF141" s="197" t="n">
        <f aca="false">Algae_yield_cost_factor/N141</f>
        <v>0.113335283145855</v>
      </c>
      <c r="BG141" s="197" t="n">
        <f aca="false">Algae_yield_cost_factor/O141</f>
        <v>0.108946008858868</v>
      </c>
      <c r="BH141" s="197" t="n">
        <f aca="false">Algae_yield_cost_factor/P141</f>
        <v>0.103120821567668</v>
      </c>
      <c r="BI141" s="197" t="n">
        <f aca="false">Algae_yield_cost_factor/Q141</f>
        <v>0.0960900869055477</v>
      </c>
      <c r="BJ141" s="197" t="n">
        <f aca="false">Algae_yield_cost_factor/R141</f>
        <v>0.0885147670913222</v>
      </c>
      <c r="BK141" s="197" t="n">
        <f aca="false">Algae_yield_cost_factor/S141</f>
        <v>0.0812884609716614</v>
      </c>
      <c r="BL141" s="197" t="n">
        <f aca="false">Algae_yield_cost_factor/T141</f>
        <v>0.075153003291102</v>
      </c>
      <c r="BM141" s="197" t="n">
        <f aca="false">Algae_yield_cost_factor/U141</f>
        <v>0.0704382237335908</v>
      </c>
      <c r="BN141" s="197" t="n">
        <f aca="false">Algae_yield_cost_factor/V141</f>
        <v>0.0670853893771896</v>
      </c>
      <c r="BO141" s="197" t="n">
        <f aca="false">Algae_yield_cost_factor/W141</f>
        <v>0.0648303279950789</v>
      </c>
      <c r="BP141" s="197" t="n">
        <f aca="false">Algae_yield_cost_factor/X141</f>
        <v>0.0633699086997851</v>
      </c>
      <c r="BQ141" s="197" t="n">
        <f aca="false">Algae_yield_cost_factor/Y141</f>
        <v>0.0624471510620301</v>
      </c>
      <c r="BR141" s="197" t="n">
        <f aca="false">Algae_yield_cost_factor/Z141</f>
        <v>0.0618731659881265</v>
      </c>
      <c r="BS141" s="197" t="n">
        <f aca="false">Algae_yield_cost_factor/AA141</f>
        <v>0.0615195979313342</v>
      </c>
      <c r="BT141" s="197" t="n">
        <f aca="false">Algae_yield_cost_factor/AB141</f>
        <v>0.0613031126194594</v>
      </c>
      <c r="BU141" s="197" t="n">
        <f aca="false">Algae_yield_cost_factor/AC141</f>
        <v>0.0611710500883075</v>
      </c>
    </row>
    <row r="142" customFormat="false" ht="15" hidden="false" customHeight="false" outlineLevel="0" collapsed="false">
      <c r="A142" s="18" t="s">
        <v>712</v>
      </c>
      <c r="B142" s="18" t="s">
        <v>22</v>
      </c>
      <c r="C142" s="18" t="s">
        <v>686</v>
      </c>
      <c r="D142" s="18" t="s">
        <v>686</v>
      </c>
      <c r="E142" s="28" t="n">
        <v>5.330095</v>
      </c>
      <c r="F142" s="185" t="n">
        <f aca="false">E142/$B$2*$F$3/1000</f>
        <v>0.01305873275</v>
      </c>
      <c r="G142" s="18" t="n">
        <f aca="false">LOOKUP(RIGHT(D142,5),Ref!$C$4:$C$21,Ref!$E$4:$E$21)*$G$3</f>
        <v>4.5</v>
      </c>
      <c r="H142" s="218" t="n">
        <f aca="false">$E142</f>
        <v>5.330095</v>
      </c>
      <c r="I142" s="177" t="n">
        <f aca="false">$E142</f>
        <v>5.330095</v>
      </c>
      <c r="J142" s="177" t="n">
        <f aca="false">$E142</f>
        <v>5.330095</v>
      </c>
      <c r="K142" s="177" t="n">
        <f aca="false">$E142</f>
        <v>5.330095</v>
      </c>
      <c r="L142" s="177" t="n">
        <f aca="false">$E142</f>
        <v>5.330095</v>
      </c>
      <c r="M142" s="177" t="n">
        <f aca="false">M$3*$E142</f>
        <v>5.58287940949438</v>
      </c>
      <c r="N142" s="177" t="n">
        <f aca="false">N$3*$E142</f>
        <v>5.73442630604033</v>
      </c>
      <c r="O142" s="177" t="n">
        <f aca="false">O$3*$E142</f>
        <v>5.96545789865548</v>
      </c>
      <c r="P142" s="177" t="n">
        <f aca="false">P$3*$E142</f>
        <v>6.30244037231264</v>
      </c>
      <c r="Q142" s="177" t="n">
        <f aca="false">Q$3*$E142</f>
        <v>6.76357832533711</v>
      </c>
      <c r="R142" s="177" t="n">
        <f aca="false">R$3*$E142</f>
        <v>7.34242263105765</v>
      </c>
      <c r="S142" s="177" t="n">
        <f aca="false">S$3*$E142</f>
        <v>7.9951425</v>
      </c>
      <c r="T142" s="177" t="n">
        <f aca="false">T$3*$E142</f>
        <v>8.64786236894235</v>
      </c>
      <c r="U142" s="177" t="n">
        <f aca="false">U$3*$E142</f>
        <v>9.22670667466289</v>
      </c>
      <c r="V142" s="177" t="n">
        <f aca="false">V$3*$E142</f>
        <v>9.68784462768736</v>
      </c>
      <c r="W142" s="177" t="n">
        <f aca="false">W$3*$E142</f>
        <v>10.0248271013445</v>
      </c>
      <c r="X142" s="177" t="n">
        <f aca="false">X$3*$E142</f>
        <v>10.2558586939597</v>
      </c>
      <c r="Y142" s="177" t="n">
        <f aca="false">Y$3*$E142</f>
        <v>10.4074055905056</v>
      </c>
      <c r="Z142" s="177" t="n">
        <f aca="false">Z$3*$E142</f>
        <v>10.5039530254334</v>
      </c>
      <c r="AA142" s="177" t="n">
        <f aca="false">AA$3*$E142</f>
        <v>10.5643217922121</v>
      </c>
      <c r="AB142" s="177" t="n">
        <f aca="false">AB$3*$E142</f>
        <v>10.6016285520194</v>
      </c>
      <c r="AC142" s="177" t="n">
        <f aca="false">AC$3*$E142</f>
        <v>10.6245164687527</v>
      </c>
      <c r="AD142" s="219" t="n">
        <f aca="false">Algae_electricity_factor/H142</f>
        <v>0.00257849008385953</v>
      </c>
      <c r="AE142" s="220" t="n">
        <f aca="false">Algae_electricity_factor/I142</f>
        <v>0.00257849008385953</v>
      </c>
      <c r="AF142" s="220" t="n">
        <f aca="false">Algae_electricity_factor/J142</f>
        <v>0.00257849008385953</v>
      </c>
      <c r="AG142" s="220" t="n">
        <f aca="false">Algae_electricity_factor/K142</f>
        <v>0.00257849008385953</v>
      </c>
      <c r="AH142" s="220" t="n">
        <f aca="false">Algae_electricity_factor/L142</f>
        <v>0.00257849008385953</v>
      </c>
      <c r="AI142" s="220" t="n">
        <f aca="false">Algae_electricity_factor/M142</f>
        <v>0.00246173991868006</v>
      </c>
      <c r="AJ142" s="220" t="n">
        <f aca="false">Algae_electricity_factor/N142</f>
        <v>0.00239668213872633</v>
      </c>
      <c r="AK142" s="220" t="n">
        <f aca="false">Algae_electricity_factor/O142</f>
        <v>0.00230386289485453</v>
      </c>
      <c r="AL142" s="220" t="n">
        <f aca="false">Algae_electricity_factor/P142</f>
        <v>0.00218067864059555</v>
      </c>
      <c r="AM142" s="220" t="n">
        <f aca="false">Algae_electricity_factor/Q142</f>
        <v>0.00203200087918613</v>
      </c>
      <c r="AN142" s="220" t="n">
        <f aca="false">Algae_electricity_factor/R142</f>
        <v>0.00187180686731316</v>
      </c>
      <c r="AO142" s="220" t="n">
        <f aca="false">Algae_electricity_factor/S142</f>
        <v>0.00171899338923969</v>
      </c>
      <c r="AP142" s="220" t="n">
        <f aca="false">Algae_electricity_factor/T142</f>
        <v>0.00158924789932915</v>
      </c>
      <c r="AQ142" s="220" t="n">
        <f aca="false">Algae_electricity_factor/U142</f>
        <v>0.00148954525034052</v>
      </c>
      <c r="AR142" s="220" t="n">
        <f aca="false">Algae_electricity_factor/V142</f>
        <v>0.00141864342706847</v>
      </c>
      <c r="AS142" s="220" t="n">
        <f aca="false">Algae_electricity_factor/W142</f>
        <v>0.00137095602393841</v>
      </c>
      <c r="AT142" s="220" t="n">
        <f aca="false">Algae_electricity_factor/X142</f>
        <v>0.00134007278314236</v>
      </c>
      <c r="AU142" s="220" t="n">
        <f aca="false">Algae_electricity_factor/Y142</f>
        <v>0.00132055938283669</v>
      </c>
      <c r="AV142" s="220" t="n">
        <f aca="false">Algae_electricity_factor/Z142</f>
        <v>0.00130842141717996</v>
      </c>
      <c r="AW142" s="220" t="n">
        <f aca="false">Algae_electricity_factor/AA142</f>
        <v>0.00130094457304972</v>
      </c>
      <c r="AX142" s="220" t="n">
        <f aca="false">Algae_electricity_factor/AB142</f>
        <v>0.00129636659463148</v>
      </c>
      <c r="AY142" s="220" t="n">
        <f aca="false">Algae_electricity_factor/AC142</f>
        <v>0.00129357389053421</v>
      </c>
      <c r="AZ142" s="221" t="n">
        <f aca="false">Algae_yield_cost_factor/H142</f>
        <v>0.142744663891773</v>
      </c>
      <c r="BA142" s="197" t="n">
        <f aca="false">Algae_yield_cost_factor/I142</f>
        <v>0.142744663891773</v>
      </c>
      <c r="BB142" s="197" t="n">
        <f aca="false">Algae_yield_cost_factor/J142</f>
        <v>0.142744663891773</v>
      </c>
      <c r="BC142" s="197" t="n">
        <f aca="false">Algae_yield_cost_factor/K142</f>
        <v>0.142744663891773</v>
      </c>
      <c r="BD142" s="197" t="n">
        <f aca="false">Algae_yield_cost_factor/L142</f>
        <v>0.142744663891773</v>
      </c>
      <c r="BE142" s="197" t="n">
        <f aca="false">Algae_yield_cost_factor/M142</f>
        <v>0.1362813995216</v>
      </c>
      <c r="BF142" s="197" t="n">
        <f aca="false">Algae_yield_cost_factor/N142</f>
        <v>0.132679814628499</v>
      </c>
      <c r="BG142" s="197" t="n">
        <f aca="false">Algae_yield_cost_factor/O142</f>
        <v>0.127541360983823</v>
      </c>
      <c r="BH142" s="197" t="n">
        <f aca="false">Algae_yield_cost_factor/P142</f>
        <v>0.12072190680751</v>
      </c>
      <c r="BI142" s="197" t="n">
        <f aca="false">Algae_yield_cost_factor/Q142</f>
        <v>0.112491137485023</v>
      </c>
      <c r="BJ142" s="197" t="n">
        <f aca="false">Algae_yield_cost_factor/R142</f>
        <v>0.1036228309806</v>
      </c>
      <c r="BK142" s="197" t="n">
        <f aca="false">Algae_yield_cost_factor/S142</f>
        <v>0.0951631092611817</v>
      </c>
      <c r="BL142" s="197" t="n">
        <f aca="false">Algae_yield_cost_factor/T142</f>
        <v>0.0879804264714808</v>
      </c>
      <c r="BM142" s="197" t="n">
        <f aca="false">Algae_yield_cost_factor/U142</f>
        <v>0.0824609089801823</v>
      </c>
      <c r="BN142" s="197" t="n">
        <f aca="false">Algae_yield_cost_factor/V142</f>
        <v>0.0785357990890738</v>
      </c>
      <c r="BO142" s="197" t="n">
        <f aca="false">Algae_yield_cost_factor/W142</f>
        <v>0.0758958345709697</v>
      </c>
      <c r="BP142" s="197" t="n">
        <f aca="false">Algae_yield_cost_factor/X142</f>
        <v>0.0741861449138653</v>
      </c>
      <c r="BQ142" s="197" t="n">
        <f aca="false">Algae_yield_cost_factor/Y142</f>
        <v>0.0731058872136504</v>
      </c>
      <c r="BR142" s="197" t="n">
        <f aca="false">Algae_yield_cost_factor/Z142</f>
        <v>0.0724339320105469</v>
      </c>
      <c r="BS142" s="197" t="n">
        <f aca="false">Algae_yield_cost_factor/AA142</f>
        <v>0.0720200155060689</v>
      </c>
      <c r="BT142" s="197" t="n">
        <f aca="false">Algae_yield_cost_factor/AB142</f>
        <v>0.0717665795922734</v>
      </c>
      <c r="BU142" s="197" t="n">
        <f aca="false">Algae_yield_cost_factor/AC142</f>
        <v>0.071611976086055</v>
      </c>
    </row>
    <row r="143" customFormat="false" ht="15" hidden="false" customHeight="false" outlineLevel="0" collapsed="false">
      <c r="A143" s="18" t="s">
        <v>713</v>
      </c>
      <c r="B143" s="18" t="s">
        <v>22</v>
      </c>
      <c r="C143" s="18" t="s">
        <v>690</v>
      </c>
      <c r="D143" s="18" t="s">
        <v>690</v>
      </c>
      <c r="E143" s="28" t="n">
        <v>6.9277</v>
      </c>
      <c r="F143" s="185" t="n">
        <f aca="false">E143/$B$2*$F$3/1000</f>
        <v>0.016972865</v>
      </c>
      <c r="G143" s="18" t="n">
        <f aca="false">LOOKUP(RIGHT(D143,5),Ref!$C$4:$C$21,Ref!$E$4:$E$21)*$G$3</f>
        <v>1.5</v>
      </c>
      <c r="H143" s="218" t="n">
        <f aca="false">$E143</f>
        <v>6.9277</v>
      </c>
      <c r="I143" s="177" t="n">
        <f aca="false">$E143</f>
        <v>6.9277</v>
      </c>
      <c r="J143" s="177" t="n">
        <f aca="false">$E143</f>
        <v>6.9277</v>
      </c>
      <c r="K143" s="177" t="n">
        <f aca="false">$E143</f>
        <v>6.9277</v>
      </c>
      <c r="L143" s="177" t="n">
        <f aca="false">$E143</f>
        <v>6.9277</v>
      </c>
      <c r="M143" s="177" t="n">
        <f aca="false">M$3*$E143</f>
        <v>7.25625222161223</v>
      </c>
      <c r="N143" s="177" t="n">
        <f aca="false">N$3*$E143</f>
        <v>7.45322271373317</v>
      </c>
      <c r="O143" s="177" t="n">
        <f aca="false">O$3*$E143</f>
        <v>7.75350208289262</v>
      </c>
      <c r="P143" s="177" t="n">
        <f aca="false">P$3*$E143</f>
        <v>8.1914893012733</v>
      </c>
      <c r="Q143" s="177" t="n">
        <f aca="false">Q$3*$E143</f>
        <v>8.79084548482492</v>
      </c>
      <c r="R143" s="177" t="n">
        <f aca="false">R$3*$E143</f>
        <v>9.54318849123291</v>
      </c>
      <c r="S143" s="177" t="n">
        <f aca="false">S$3*$E143</f>
        <v>10.39155</v>
      </c>
      <c r="T143" s="177" t="n">
        <f aca="false">T$3*$E143</f>
        <v>11.2399115087671</v>
      </c>
      <c r="U143" s="177" t="n">
        <f aca="false">U$3*$E143</f>
        <v>11.9922545151751</v>
      </c>
      <c r="V143" s="177" t="n">
        <f aca="false">V$3*$E143</f>
        <v>12.5916106987267</v>
      </c>
      <c r="W143" s="177" t="n">
        <f aca="false">W$3*$E143</f>
        <v>13.0295979171074</v>
      </c>
      <c r="X143" s="177" t="n">
        <f aca="false">X$3*$E143</f>
        <v>13.3298772862668</v>
      </c>
      <c r="Y143" s="177" t="n">
        <f aca="false">Y$3*$E143</f>
        <v>13.5268477783878</v>
      </c>
      <c r="Z143" s="177" t="n">
        <f aca="false">Z$3*$E143</f>
        <v>13.6523336590238</v>
      </c>
      <c r="AA143" s="177" t="n">
        <f aca="false">AA$3*$E143</f>
        <v>13.7307969332456</v>
      </c>
      <c r="AB143" s="177" t="n">
        <f aca="false">AB$3*$E143</f>
        <v>13.779285757538</v>
      </c>
      <c r="AC143" s="177" t="n">
        <f aca="false">AC$3*$E143</f>
        <v>13.8090339366518</v>
      </c>
      <c r="AD143" s="219" t="n">
        <f aca="false">Algae_electricity_factor/H143</f>
        <v>0.00198386146968392</v>
      </c>
      <c r="AE143" s="220" t="n">
        <f aca="false">Algae_electricity_factor/I143</f>
        <v>0.00198386146968392</v>
      </c>
      <c r="AF143" s="220" t="n">
        <f aca="false">Algae_electricity_factor/J143</f>
        <v>0.00198386146968392</v>
      </c>
      <c r="AG143" s="220" t="n">
        <f aca="false">Algae_electricity_factor/K143</f>
        <v>0.00198386146968392</v>
      </c>
      <c r="AH143" s="220" t="n">
        <f aca="false">Algae_electricity_factor/L143</f>
        <v>0.00198386146968392</v>
      </c>
      <c r="AI143" s="220" t="n">
        <f aca="false">Algae_electricity_factor/M143</f>
        <v>0.00189403519665358</v>
      </c>
      <c r="AJ143" s="220" t="n">
        <f aca="false">Algae_electricity_factor/N143</f>
        <v>0.00184398046742996</v>
      </c>
      <c r="AK143" s="220" t="n">
        <f aca="false">Algae_electricity_factor/O143</f>
        <v>0.00177256637795368</v>
      </c>
      <c r="AL143" s="220" t="n">
        <f aca="false">Algae_electricity_factor/P143</f>
        <v>0.0016777897886521</v>
      </c>
      <c r="AM143" s="220" t="n">
        <f aca="false">Algae_electricity_factor/Q143</f>
        <v>0.00156339877970259</v>
      </c>
      <c r="AN143" s="220" t="n">
        <f aca="false">Algae_electricity_factor/R143</f>
        <v>0.00144014729627893</v>
      </c>
      <c r="AO143" s="220" t="n">
        <f aca="false">Algae_electricity_factor/S143</f>
        <v>0.00132257431312261</v>
      </c>
      <c r="AP143" s="220" t="n">
        <f aca="false">Algae_electricity_factor/T143</f>
        <v>0.00122274958239745</v>
      </c>
      <c r="AQ143" s="220" t="n">
        <f aca="false">Algae_electricity_factor/U143</f>
        <v>0.00114603947790951</v>
      </c>
      <c r="AR143" s="220" t="n">
        <f aca="false">Algae_electricity_factor/V143</f>
        <v>0.00109148840703271</v>
      </c>
      <c r="AS143" s="220" t="n">
        <f aca="false">Algae_electricity_factor/W143</f>
        <v>0.00105479825171615</v>
      </c>
      <c r="AT143" s="220" t="n">
        <f aca="false">Algae_electricity_factor/X143</f>
        <v>0.00103103703120273</v>
      </c>
      <c r="AU143" s="220" t="n">
        <f aca="false">Algae_electricity_factor/Y143</f>
        <v>0.00101602363896545</v>
      </c>
      <c r="AV143" s="220" t="n">
        <f aca="false">Algae_electricity_factor/Z143</f>
        <v>0.00100668482376602</v>
      </c>
      <c r="AW143" s="220" t="n">
        <f aca="false">Algae_electricity_factor/AA143</f>
        <v>0.00100093222340596</v>
      </c>
      <c r="AX143" s="220" t="n">
        <f aca="false">Algae_electricity_factor/AB143</f>
        <v>0.000997409977945391</v>
      </c>
      <c r="AY143" s="220" t="n">
        <f aca="false">Algae_electricity_factor/AC143</f>
        <v>0.000995261302606485</v>
      </c>
      <c r="AZ143" s="221" t="n">
        <f aca="false">Algae_yield_cost_factor/H143</f>
        <v>0.109826149990071</v>
      </c>
      <c r="BA143" s="197" t="n">
        <f aca="false">Algae_yield_cost_factor/I143</f>
        <v>0.109826149990071</v>
      </c>
      <c r="BB143" s="197" t="n">
        <f aca="false">Algae_yield_cost_factor/J143</f>
        <v>0.109826149990071</v>
      </c>
      <c r="BC143" s="197" t="n">
        <f aca="false">Algae_yield_cost_factor/K143</f>
        <v>0.109826149990071</v>
      </c>
      <c r="BD143" s="197" t="n">
        <f aca="false">Algae_yield_cost_factor/L143</f>
        <v>0.109826149990071</v>
      </c>
      <c r="BE143" s="197" t="n">
        <f aca="false">Algae_yield_cost_factor/M143</f>
        <v>0.104853386576076</v>
      </c>
      <c r="BF143" s="197" t="n">
        <f aca="false">Algae_yield_cost_factor/N143</f>
        <v>0.102082367387775</v>
      </c>
      <c r="BG143" s="197" t="n">
        <f aca="false">Algae_yield_cost_factor/O143</f>
        <v>0.0981288985483019</v>
      </c>
      <c r="BH143" s="197" t="n">
        <f aca="false">Algae_yield_cost_factor/P143</f>
        <v>0.0928820866759786</v>
      </c>
      <c r="BI143" s="197" t="n">
        <f aca="false">Algae_yield_cost_factor/Q143</f>
        <v>0.086549424694088</v>
      </c>
      <c r="BJ143" s="197" t="n">
        <f aca="false">Algae_yield_cost_factor/R143</f>
        <v>0.0797262487254846</v>
      </c>
      <c r="BK143" s="197" t="n">
        <f aca="false">Algae_yield_cost_factor/S143</f>
        <v>0.0732174333267143</v>
      </c>
      <c r="BL143" s="197" t="n">
        <f aca="false">Algae_yield_cost_factor/T143</f>
        <v>0.0676911574163874</v>
      </c>
      <c r="BM143" s="197" t="n">
        <f aca="false">Algae_yield_cost_factor/U143</f>
        <v>0.0634445023096735</v>
      </c>
      <c r="BN143" s="197" t="n">
        <f aca="false">Algae_yield_cost_factor/V143</f>
        <v>0.0604245666015672</v>
      </c>
      <c r="BO143" s="197" t="n">
        <f aca="false">Algae_yield_cost_factor/W143</f>
        <v>0.0583934073888236</v>
      </c>
      <c r="BP143" s="197" t="n">
        <f aca="false">Algae_yield_cost_factor/X143</f>
        <v>0.0570779912632864</v>
      </c>
      <c r="BQ143" s="197" t="n">
        <f aca="false">Algae_yield_cost_factor/Y143</f>
        <v>0.0562468530548438</v>
      </c>
      <c r="BR143" s="197" t="n">
        <f aca="false">Algae_yield_cost_factor/Z143</f>
        <v>0.055729858227082</v>
      </c>
      <c r="BS143" s="197" t="n">
        <f aca="false">Algae_yield_cost_factor/AA143</f>
        <v>0.0554113954918401</v>
      </c>
      <c r="BT143" s="197" t="n">
        <f aca="false">Algae_yield_cost_factor/AB143</f>
        <v>0.0552164047305568</v>
      </c>
      <c r="BU143" s="197" t="n">
        <f aca="false">Algae_yield_cost_factor/AC143</f>
        <v>0.0550974545197398</v>
      </c>
    </row>
    <row r="144" customFormat="false" ht="15" hidden="false" customHeight="false" outlineLevel="0" collapsed="false">
      <c r="A144" s="18" t="s">
        <v>713</v>
      </c>
      <c r="B144" s="18" t="s">
        <v>22</v>
      </c>
      <c r="C144" s="18" t="s">
        <v>683</v>
      </c>
      <c r="D144" s="18" t="s">
        <v>683</v>
      </c>
      <c r="E144" s="28" t="n">
        <v>6.7508575</v>
      </c>
      <c r="F144" s="185" t="n">
        <f aca="false">E144/$B$2*$F$3/1000</f>
        <v>0.016539600875</v>
      </c>
      <c r="G144" s="18" t="n">
        <f aca="false">LOOKUP(RIGHT(D144,5),Ref!$C$4:$C$21,Ref!$E$4:$E$21)*$G$3</f>
        <v>3</v>
      </c>
      <c r="H144" s="218" t="n">
        <f aca="false">$E144</f>
        <v>6.7508575</v>
      </c>
      <c r="I144" s="177" t="n">
        <f aca="false">$E144</f>
        <v>6.7508575</v>
      </c>
      <c r="J144" s="177" t="n">
        <f aca="false">$E144</f>
        <v>6.7508575</v>
      </c>
      <c r="K144" s="177" t="n">
        <f aca="false">$E144</f>
        <v>6.7508575</v>
      </c>
      <c r="L144" s="177" t="n">
        <f aca="false">$E144</f>
        <v>6.7508575</v>
      </c>
      <c r="M144" s="177" t="n">
        <f aca="false">M$3*$E144</f>
        <v>7.07102281163483</v>
      </c>
      <c r="N144" s="177" t="n">
        <f aca="false">N$3*$E144</f>
        <v>7.26296526353276</v>
      </c>
      <c r="O144" s="177" t="n">
        <f aca="false">O$3*$E144</f>
        <v>7.55557944015493</v>
      </c>
      <c r="P144" s="177" t="n">
        <f aca="false">P$3*$E144</f>
        <v>7.98238621557957</v>
      </c>
      <c r="Q144" s="177" t="n">
        <f aca="false">Q$3*$E144</f>
        <v>8.56644271151629</v>
      </c>
      <c r="R144" s="177" t="n">
        <f aca="false">R$3*$E144</f>
        <v>9.29958075551098</v>
      </c>
      <c r="S144" s="177" t="n">
        <f aca="false">S$3*$E144</f>
        <v>10.12628625</v>
      </c>
      <c r="T144" s="177" t="n">
        <f aca="false">T$3*$E144</f>
        <v>10.952991744489</v>
      </c>
      <c r="U144" s="177" t="n">
        <f aca="false">U$3*$E144</f>
        <v>11.6861297884837</v>
      </c>
      <c r="V144" s="177" t="n">
        <f aca="false">V$3*$E144</f>
        <v>12.2701862844204</v>
      </c>
      <c r="W144" s="177" t="n">
        <f aca="false">W$3*$E144</f>
        <v>12.6969930598451</v>
      </c>
      <c r="X144" s="177" t="n">
        <f aca="false">X$3*$E144</f>
        <v>12.9896072364672</v>
      </c>
      <c r="Y144" s="177" t="n">
        <f aca="false">Y$3*$E144</f>
        <v>13.1815496883652</v>
      </c>
      <c r="Z144" s="177" t="n">
        <f aca="false">Z$3*$E144</f>
        <v>13.3038323071905</v>
      </c>
      <c r="AA144" s="177" t="n">
        <f aca="false">AA$3*$E144</f>
        <v>13.3802926595808</v>
      </c>
      <c r="AB144" s="177" t="n">
        <f aca="false">AB$3*$E144</f>
        <v>13.4275437159402</v>
      </c>
      <c r="AC144" s="177" t="n">
        <f aca="false">AC$3*$E144</f>
        <v>13.4565325171414</v>
      </c>
      <c r="AD144" s="219" t="n">
        <f aca="false">Algae_electricity_factor/H144</f>
        <v>0.00203582983399209</v>
      </c>
      <c r="AE144" s="220" t="n">
        <f aca="false">Algae_electricity_factor/I144</f>
        <v>0.00203582983399209</v>
      </c>
      <c r="AF144" s="220" t="n">
        <f aca="false">Algae_electricity_factor/J144</f>
        <v>0.00203582983399209</v>
      </c>
      <c r="AG144" s="220" t="n">
        <f aca="false">Algae_electricity_factor/K144</f>
        <v>0.00203582983399209</v>
      </c>
      <c r="AH144" s="220" t="n">
        <f aca="false">Algae_electricity_factor/L144</f>
        <v>0.00203582983399209</v>
      </c>
      <c r="AI144" s="220" t="n">
        <f aca="false">Algae_electricity_factor/M144</f>
        <v>0.00194365051133978</v>
      </c>
      <c r="AJ144" s="220" t="n">
        <f aca="false">Algae_electricity_factor/N144</f>
        <v>0.00189228457039932</v>
      </c>
      <c r="AK144" s="220" t="n">
        <f aca="false">Algae_electricity_factor/O144</f>
        <v>0.00181899974878001</v>
      </c>
      <c r="AL144" s="220" t="n">
        <f aca="false">Algae_electricity_factor/P144</f>
        <v>0.00172174043354421</v>
      </c>
      <c r="AM144" s="220" t="n">
        <f aca="false">Algae_electricity_factor/Q144</f>
        <v>0.00160435288793247</v>
      </c>
      <c r="AN144" s="220" t="n">
        <f aca="false">Algae_electricity_factor/R144</f>
        <v>0.00147787276274629</v>
      </c>
      <c r="AO144" s="220" t="n">
        <f aca="false">Algae_electricity_factor/S144</f>
        <v>0.00135721988932806</v>
      </c>
      <c r="AP144" s="220" t="n">
        <f aca="false">Algae_electricity_factor/T144</f>
        <v>0.00125478019377165</v>
      </c>
      <c r="AQ144" s="220" t="n">
        <f aca="false">Algae_electricity_factor/U144</f>
        <v>0.00117606062505596</v>
      </c>
      <c r="AR144" s="220" t="n">
        <f aca="false">Algae_electricity_factor/V144</f>
        <v>0.0011200805582699</v>
      </c>
      <c r="AS144" s="220" t="n">
        <f aca="false">Algae_electricity_factor/W144</f>
        <v>0.00108242928374862</v>
      </c>
      <c r="AT144" s="220" t="n">
        <f aca="false">Algae_electricity_factor/X144</f>
        <v>0.00105804562473184</v>
      </c>
      <c r="AU144" s="220" t="n">
        <f aca="false">Algae_electricity_factor/Y144</f>
        <v>0.00104263894826116</v>
      </c>
      <c r="AV144" s="220" t="n">
        <f aca="false">Algae_electricity_factor/Z144</f>
        <v>0.00103305549755773</v>
      </c>
      <c r="AW144" s="220" t="n">
        <f aca="false">Algae_electricity_factor/AA144</f>
        <v>0.00102715220460356</v>
      </c>
      <c r="AX144" s="220" t="n">
        <f aca="false">Algae_electricity_factor/AB144</f>
        <v>0.00102353769194688</v>
      </c>
      <c r="AY144" s="220" t="n">
        <f aca="false">Algae_electricity_factor/AC144</f>
        <v>0.00102133273085189</v>
      </c>
      <c r="AZ144" s="221" t="n">
        <f aca="false">Algae_yield_cost_factor/H144</f>
        <v>0.112703107610584</v>
      </c>
      <c r="BA144" s="197" t="n">
        <f aca="false">Algae_yield_cost_factor/I144</f>
        <v>0.112703107610584</v>
      </c>
      <c r="BB144" s="197" t="n">
        <f aca="false">Algae_yield_cost_factor/J144</f>
        <v>0.112703107610584</v>
      </c>
      <c r="BC144" s="197" t="n">
        <f aca="false">Algae_yield_cost_factor/K144</f>
        <v>0.112703107610584</v>
      </c>
      <c r="BD144" s="197" t="n">
        <f aca="false">Algae_yield_cost_factor/L144</f>
        <v>0.112703107610584</v>
      </c>
      <c r="BE144" s="197" t="n">
        <f aca="false">Algae_yield_cost_factor/M144</f>
        <v>0.107600079868829</v>
      </c>
      <c r="BF144" s="197" t="n">
        <f aca="false">Algae_yield_cost_factor/N144</f>
        <v>0.10475647227812</v>
      </c>
      <c r="BG144" s="197" t="n">
        <f aca="false">Algae_yield_cost_factor/O144</f>
        <v>0.100699440104175</v>
      </c>
      <c r="BH144" s="197" t="n">
        <f aca="false">Algae_yield_cost_factor/P144</f>
        <v>0.0953151850509624</v>
      </c>
      <c r="BI144" s="197" t="n">
        <f aca="false">Algae_yield_cost_factor/Q144</f>
        <v>0.0888166354353108</v>
      </c>
      <c r="BJ144" s="197" t="n">
        <f aca="false">Algae_yield_cost_factor/R144</f>
        <v>0.0818147225438457</v>
      </c>
      <c r="BK144" s="197" t="n">
        <f aca="false">Algae_yield_cost_factor/S144</f>
        <v>0.0751354050737226</v>
      </c>
      <c r="BL144" s="197" t="n">
        <f aca="false">Algae_yield_cost_factor/T144</f>
        <v>0.0694643652652285</v>
      </c>
      <c r="BM144" s="197" t="n">
        <f aca="false">Algae_yield_cost_factor/U144</f>
        <v>0.0651064666452706</v>
      </c>
      <c r="BN144" s="197" t="n">
        <f aca="false">Algae_yield_cost_factor/V144</f>
        <v>0.0620074220268576</v>
      </c>
      <c r="BO144" s="197" t="n">
        <f aca="false">Algae_yield_cost_factor/W144</f>
        <v>0.0599230554588884</v>
      </c>
      <c r="BP144" s="197" t="n">
        <f aca="false">Algae_yield_cost_factor/X144</f>
        <v>0.0585731812698859</v>
      </c>
      <c r="BQ144" s="197" t="n">
        <f aca="false">Algae_yield_cost_factor/Y144</f>
        <v>0.0577202709297362</v>
      </c>
      <c r="BR144" s="197" t="n">
        <f aca="false">Algae_yield_cost_factor/Z144</f>
        <v>0.0571897331323844</v>
      </c>
      <c r="BS144" s="197" t="n">
        <f aca="false">Algae_yield_cost_factor/AA144</f>
        <v>0.056862928087109</v>
      </c>
      <c r="BT144" s="197" t="n">
        <f aca="false">Algae_yield_cost_factor/AB144</f>
        <v>0.056662829433428</v>
      </c>
      <c r="BU144" s="197" t="n">
        <f aca="false">Algae_yield_cost_factor/AC144</f>
        <v>0.0565407632550978</v>
      </c>
    </row>
    <row r="145" customFormat="false" ht="15" hidden="false" customHeight="false" outlineLevel="0" collapsed="false">
      <c r="A145" s="18" t="s">
        <v>713</v>
      </c>
      <c r="B145" s="18" t="s">
        <v>22</v>
      </c>
      <c r="C145" s="18" t="s">
        <v>684</v>
      </c>
      <c r="D145" s="18" t="s">
        <v>684</v>
      </c>
      <c r="E145" s="28" t="n">
        <v>5.579755</v>
      </c>
      <c r="F145" s="185" t="n">
        <f aca="false">E145/$B$2*$F$3/1000</f>
        <v>0.01367039975</v>
      </c>
      <c r="G145" s="18" t="n">
        <f aca="false">LOOKUP(RIGHT(D145,5),Ref!$C$4:$C$21,Ref!$E$4:$E$21)*$G$3</f>
        <v>3.5</v>
      </c>
      <c r="H145" s="218" t="n">
        <f aca="false">$E145</f>
        <v>5.579755</v>
      </c>
      <c r="I145" s="177" t="n">
        <f aca="false">$E145</f>
        <v>5.579755</v>
      </c>
      <c r="J145" s="177" t="n">
        <f aca="false">$E145</f>
        <v>5.579755</v>
      </c>
      <c r="K145" s="177" t="n">
        <f aca="false">$E145</f>
        <v>5.579755</v>
      </c>
      <c r="L145" s="177" t="n">
        <f aca="false">$E145</f>
        <v>5.579755</v>
      </c>
      <c r="M145" s="177" t="n">
        <f aca="false">M$3*$E145</f>
        <v>5.84437975299189</v>
      </c>
      <c r="N145" s="177" t="n">
        <f aca="false">N$3*$E145</f>
        <v>6.00302505926443</v>
      </c>
      <c r="O145" s="177" t="n">
        <f aca="false">O$3*$E145</f>
        <v>6.24487810016752</v>
      </c>
      <c r="P145" s="177" t="n">
        <f aca="false">P$3*$E145</f>
        <v>6.59764472858614</v>
      </c>
      <c r="Q145" s="177" t="n">
        <f aca="false">Q$3*$E145</f>
        <v>7.08038224059634</v>
      </c>
      <c r="R145" s="177" t="n">
        <f aca="false">R$3*$E145</f>
        <v>7.6863394344298</v>
      </c>
      <c r="S145" s="177" t="n">
        <f aca="false">S$3*$E145</f>
        <v>8.3696325</v>
      </c>
      <c r="T145" s="177" t="n">
        <f aca="false">T$3*$E145</f>
        <v>9.0529255655702</v>
      </c>
      <c r="U145" s="177" t="n">
        <f aca="false">U$3*$E145</f>
        <v>9.65888275940366</v>
      </c>
      <c r="V145" s="177" t="n">
        <f aca="false">V$3*$E145</f>
        <v>10.1416202714139</v>
      </c>
      <c r="W145" s="177" t="n">
        <f aca="false">W$3*$E145</f>
        <v>10.4943868998325</v>
      </c>
      <c r="X145" s="177" t="n">
        <f aca="false">X$3*$E145</f>
        <v>10.7362399407356</v>
      </c>
      <c r="Y145" s="177" t="n">
        <f aca="false">Y$3*$E145</f>
        <v>10.8948852470081</v>
      </c>
      <c r="Z145" s="177" t="n">
        <f aca="false">Z$3*$E145</f>
        <v>10.995954933904</v>
      </c>
      <c r="AA145" s="177" t="n">
        <f aca="false">AA$3*$E145</f>
        <v>11.059151355033</v>
      </c>
      <c r="AB145" s="177" t="n">
        <f aca="false">AB$3*$E145</f>
        <v>11.0982055519222</v>
      </c>
      <c r="AC145" s="177" t="n">
        <f aca="false">AC$3*$E145</f>
        <v>11.122165531591</v>
      </c>
      <c r="AD145" s="219" t="n">
        <f aca="false">Algae_electricity_factor/H145</f>
        <v>0.00246311838127826</v>
      </c>
      <c r="AE145" s="220" t="n">
        <f aca="false">Algae_electricity_factor/I145</f>
        <v>0.00246311838127826</v>
      </c>
      <c r="AF145" s="220" t="n">
        <f aca="false">Algae_electricity_factor/J145</f>
        <v>0.00246311838127826</v>
      </c>
      <c r="AG145" s="220" t="n">
        <f aca="false">Algae_electricity_factor/K145</f>
        <v>0.00246311838127826</v>
      </c>
      <c r="AH145" s="220" t="n">
        <f aca="false">Algae_electricity_factor/L145</f>
        <v>0.00246311838127826</v>
      </c>
      <c r="AI145" s="220" t="n">
        <f aca="false">Algae_electricity_factor/M145</f>
        <v>0.0023515920738199</v>
      </c>
      <c r="AJ145" s="220" t="n">
        <f aca="false">Algae_electricity_factor/N145</f>
        <v>0.00228944523266963</v>
      </c>
      <c r="AK145" s="220" t="n">
        <f aca="false">Algae_electricity_factor/O145</f>
        <v>0.00220077908376796</v>
      </c>
      <c r="AL145" s="220" t="n">
        <f aca="false">Algae_electricity_factor/P145</f>
        <v>0.00208310657346875</v>
      </c>
      <c r="AM145" s="220" t="n">
        <f aca="false">Algae_electricity_factor/Q145</f>
        <v>0.00194108123495487</v>
      </c>
      <c r="AN145" s="220" t="n">
        <f aca="false">Algae_electricity_factor/R145</f>
        <v>0.00178805492793707</v>
      </c>
      <c r="AO145" s="220" t="n">
        <f aca="false">Algae_electricity_factor/S145</f>
        <v>0.00164207892085217</v>
      </c>
      <c r="AP145" s="220" t="n">
        <f aca="false">Algae_electricity_factor/T145</f>
        <v>0.00151813875017359</v>
      </c>
      <c r="AQ145" s="220" t="n">
        <f aca="false">Algae_electricity_factor/U145</f>
        <v>0.0014228971865456</v>
      </c>
      <c r="AR145" s="220" t="n">
        <f aca="false">Algae_electricity_factor/V145</f>
        <v>0.0013551677873671</v>
      </c>
      <c r="AS145" s="220" t="n">
        <f aca="false">Algae_electricity_factor/W145</f>
        <v>0.00130961410463613</v>
      </c>
      <c r="AT145" s="220" t="n">
        <f aca="false">Algae_electricity_factor/X145</f>
        <v>0.00128011270047935</v>
      </c>
      <c r="AU145" s="220" t="n">
        <f aca="false">Algae_electricity_factor/Y145</f>
        <v>0.00126147240580652</v>
      </c>
      <c r="AV145" s="220" t="n">
        <f aca="false">Algae_electricity_factor/Z145</f>
        <v>0.00124987754007189</v>
      </c>
      <c r="AW145" s="220" t="n">
        <f aca="false">Algae_electricity_factor/AA145</f>
        <v>0.00124273523910807</v>
      </c>
      <c r="AX145" s="220" t="n">
        <f aca="false">Algae_electricity_factor/AB145</f>
        <v>0.00123836209729859</v>
      </c>
      <c r="AY145" s="220" t="n">
        <f aca="false">Algae_electricity_factor/AC145</f>
        <v>0.0012356943496743</v>
      </c>
      <c r="AZ145" s="221" t="n">
        <f aca="false">Algae_yield_cost_factor/H145</f>
        <v>0.136357710918529</v>
      </c>
      <c r="BA145" s="197" t="n">
        <f aca="false">Algae_yield_cost_factor/I145</f>
        <v>0.136357710918529</v>
      </c>
      <c r="BB145" s="197" t="n">
        <f aca="false">Algae_yield_cost_factor/J145</f>
        <v>0.136357710918529</v>
      </c>
      <c r="BC145" s="197" t="n">
        <f aca="false">Algae_yield_cost_factor/K145</f>
        <v>0.136357710918529</v>
      </c>
      <c r="BD145" s="197" t="n">
        <f aca="false">Algae_yield_cost_factor/L145</f>
        <v>0.136357710918529</v>
      </c>
      <c r="BE145" s="197" t="n">
        <f aca="false">Algae_yield_cost_factor/M145</f>
        <v>0.130183638203305</v>
      </c>
      <c r="BF145" s="197" t="n">
        <f aca="false">Algae_yield_cost_factor/N145</f>
        <v>0.126743202264667</v>
      </c>
      <c r="BG145" s="197" t="n">
        <f aca="false">Algae_yield_cost_factor/O145</f>
        <v>0.121834663076259</v>
      </c>
      <c r="BH145" s="197" t="n">
        <f aca="false">Algae_yield_cost_factor/P145</f>
        <v>0.115320337875978</v>
      </c>
      <c r="BI145" s="197" t="n">
        <f aca="false">Algae_yield_cost_factor/Q145</f>
        <v>0.107457845273356</v>
      </c>
      <c r="BJ145" s="197" t="n">
        <f aca="false">Algae_yield_cost_factor/R145</f>
        <v>0.098986341388742</v>
      </c>
      <c r="BK145" s="197" t="n">
        <f aca="false">Algae_yield_cost_factor/S145</f>
        <v>0.0909051406123528</v>
      </c>
      <c r="BL145" s="197" t="n">
        <f aca="false">Algae_yield_cost_factor/T145</f>
        <v>0.0840438390634548</v>
      </c>
      <c r="BM145" s="197" t="n">
        <f aca="false">Algae_yield_cost_factor/U145</f>
        <v>0.078771286311088</v>
      </c>
      <c r="BN145" s="197" t="n">
        <f aca="false">Algae_yield_cost_factor/V145</f>
        <v>0.075021801144616</v>
      </c>
      <c r="BO145" s="197" t="n">
        <f aca="false">Algae_yield_cost_factor/W145</f>
        <v>0.0724999589350344</v>
      </c>
      <c r="BP145" s="197" t="n">
        <f aca="false">Algae_yield_cost_factor/X145</f>
        <v>0.0708667674610568</v>
      </c>
      <c r="BQ145" s="197" t="n">
        <f aca="false">Algae_yield_cost_factor/Y145</f>
        <v>0.069834844703404</v>
      </c>
      <c r="BR145" s="197" t="n">
        <f aca="false">Algae_yield_cost_factor/Z145</f>
        <v>0.0691929553967434</v>
      </c>
      <c r="BS145" s="197" t="n">
        <f aca="false">Algae_yield_cost_factor/AA145</f>
        <v>0.0687975591309691</v>
      </c>
      <c r="BT145" s="197" t="n">
        <f aca="false">Algae_yield_cost_factor/AB145</f>
        <v>0.0685554629283685</v>
      </c>
      <c r="BU145" s="197" t="n">
        <f aca="false">Algae_yield_cost_factor/AC145</f>
        <v>0.068407776985979</v>
      </c>
    </row>
    <row r="146" customFormat="false" ht="15" hidden="false" customHeight="false" outlineLevel="0" collapsed="false">
      <c r="A146" s="18" t="s">
        <v>713</v>
      </c>
      <c r="B146" s="18" t="s">
        <v>22</v>
      </c>
      <c r="C146" s="18" t="s">
        <v>685</v>
      </c>
      <c r="D146" s="18" t="s">
        <v>685</v>
      </c>
      <c r="E146" s="28" t="n">
        <v>5.636695</v>
      </c>
      <c r="F146" s="185" t="n">
        <f aca="false">E146/$B$2*$F$3/1000</f>
        <v>0.01380990275</v>
      </c>
      <c r="G146" s="18" t="n">
        <f aca="false">LOOKUP(RIGHT(D146,5),Ref!$C$4:$C$21,Ref!$E$4:$E$21)*$G$3</f>
        <v>4</v>
      </c>
      <c r="H146" s="218" t="n">
        <f aca="false">$E146</f>
        <v>5.636695</v>
      </c>
      <c r="I146" s="177" t="n">
        <f aca="false">$E146</f>
        <v>5.636695</v>
      </c>
      <c r="J146" s="177" t="n">
        <f aca="false">$E146</f>
        <v>5.636695</v>
      </c>
      <c r="K146" s="177" t="n">
        <f aca="false">$E146</f>
        <v>5.636695</v>
      </c>
      <c r="L146" s="177" t="n">
        <f aca="false">$E146</f>
        <v>5.636695</v>
      </c>
      <c r="M146" s="177" t="n">
        <f aca="false">M$3*$E146</f>
        <v>5.90402018221062</v>
      </c>
      <c r="N146" s="177" t="n">
        <f aca="false">N$3*$E146</f>
        <v>6.06428442403484</v>
      </c>
      <c r="O146" s="177" t="n">
        <f aca="false">O$3*$E146</f>
        <v>6.30860551454746</v>
      </c>
      <c r="P146" s="177" t="n">
        <f aca="false">P$3*$E146</f>
        <v>6.66497203791167</v>
      </c>
      <c r="Q146" s="177" t="n">
        <f aca="false">Q$3*$E146</f>
        <v>7.15263576512915</v>
      </c>
      <c r="R146" s="177" t="n">
        <f aca="false">R$3*$E146</f>
        <v>7.76477660011116</v>
      </c>
      <c r="S146" s="177" t="n">
        <f aca="false">S$3*$E146</f>
        <v>8.4550425</v>
      </c>
      <c r="T146" s="177" t="n">
        <f aca="false">T$3*$E146</f>
        <v>9.14530839988884</v>
      </c>
      <c r="U146" s="177" t="n">
        <f aca="false">U$3*$E146</f>
        <v>9.75744923487085</v>
      </c>
      <c r="V146" s="177" t="n">
        <f aca="false">V$3*$E146</f>
        <v>10.2451129620883</v>
      </c>
      <c r="W146" s="177" t="n">
        <f aca="false">W$3*$E146</f>
        <v>10.6014794854525</v>
      </c>
      <c r="X146" s="177" t="n">
        <f aca="false">X$3*$E146</f>
        <v>10.8458005759652</v>
      </c>
      <c r="Y146" s="177" t="n">
        <f aca="false">Y$3*$E146</f>
        <v>11.0060648177894</v>
      </c>
      <c r="Z146" s="177" t="n">
        <f aca="false">Z$3*$E146</f>
        <v>11.108165895485</v>
      </c>
      <c r="AA146" s="177" t="n">
        <f aca="false">AA$3*$E146</f>
        <v>11.1720072202377</v>
      </c>
      <c r="AB146" s="177" t="n">
        <f aca="false">AB$3*$E146</f>
        <v>11.2114599554089</v>
      </c>
      <c r="AC146" s="177" t="n">
        <f aca="false">AC$3*$E146</f>
        <v>11.2356644406593</v>
      </c>
      <c r="AD146" s="219" t="n">
        <f aca="false">Algae_electricity_factor/H146</f>
        <v>0.00243823678654411</v>
      </c>
      <c r="AE146" s="220" t="n">
        <f aca="false">Algae_electricity_factor/I146</f>
        <v>0.00243823678654411</v>
      </c>
      <c r="AF146" s="220" t="n">
        <f aca="false">Algae_electricity_factor/J146</f>
        <v>0.00243823678654411</v>
      </c>
      <c r="AG146" s="220" t="n">
        <f aca="false">Algae_electricity_factor/K146</f>
        <v>0.00243823678654411</v>
      </c>
      <c r="AH146" s="220" t="n">
        <f aca="false">Algae_electricity_factor/L146</f>
        <v>0.00243823678654411</v>
      </c>
      <c r="AI146" s="220" t="n">
        <f aca="false">Algae_electricity_factor/M146</f>
        <v>0.00232783708039143</v>
      </c>
      <c r="AJ146" s="220" t="n">
        <f aca="false">Algae_electricity_factor/N146</f>
        <v>0.00226631802576058</v>
      </c>
      <c r="AK146" s="220" t="n">
        <f aca="false">Algae_electricity_factor/O146</f>
        <v>0.00217854755251964</v>
      </c>
      <c r="AL146" s="220" t="n">
        <f aca="false">Algae_electricity_factor/P146</f>
        <v>0.00206206373040322</v>
      </c>
      <c r="AM146" s="220" t="n">
        <f aca="false">Algae_electricity_factor/Q146</f>
        <v>0.00192147308416468</v>
      </c>
      <c r="AN146" s="220" t="n">
        <f aca="false">Algae_electricity_factor/R146</f>
        <v>0.00176999259751176</v>
      </c>
      <c r="AO146" s="220" t="n">
        <f aca="false">Algae_electricity_factor/S146</f>
        <v>0.00162549119102941</v>
      </c>
      <c r="AP146" s="220" t="n">
        <f aca="false">Algae_electricity_factor/T146</f>
        <v>0.00150280302233398</v>
      </c>
      <c r="AQ146" s="220" t="n">
        <f aca="false">Algae_electricity_factor/U146</f>
        <v>0.00140852355699816</v>
      </c>
      <c r="AR146" s="220" t="n">
        <f aca="false">Algae_electricity_factor/V146</f>
        <v>0.00134147833746557</v>
      </c>
      <c r="AS146" s="220" t="n">
        <f aca="false">Algae_electricity_factor/W146</f>
        <v>0.00129638482273992</v>
      </c>
      <c r="AT146" s="220" t="n">
        <f aca="false">Algae_electricity_factor/X146</f>
        <v>0.0012671814318609</v>
      </c>
      <c r="AU146" s="220" t="n">
        <f aca="false">Algae_electricity_factor/Y146</f>
        <v>0.00124872943518515</v>
      </c>
      <c r="AV146" s="220" t="n">
        <f aca="false">Algae_electricity_factor/Z146</f>
        <v>0.00123725169689044</v>
      </c>
      <c r="AW146" s="220" t="n">
        <f aca="false">Algae_electricity_factor/AA146</f>
        <v>0.00123018154505246</v>
      </c>
      <c r="AX146" s="220" t="n">
        <f aca="false">Algae_electricity_factor/AB146</f>
        <v>0.00122585257925296</v>
      </c>
      <c r="AY146" s="220" t="n">
        <f aca="false">Algae_electricity_factor/AC146</f>
        <v>0.00122321178031931</v>
      </c>
      <c r="AZ146" s="221" t="n">
        <f aca="false">Algae_yield_cost_factor/H146</f>
        <v>0.134980271113874</v>
      </c>
      <c r="BA146" s="197" t="n">
        <f aca="false">Algae_yield_cost_factor/I146</f>
        <v>0.134980271113874</v>
      </c>
      <c r="BB146" s="197" t="n">
        <f aca="false">Algae_yield_cost_factor/J146</f>
        <v>0.134980271113874</v>
      </c>
      <c r="BC146" s="197" t="n">
        <f aca="false">Algae_yield_cost_factor/K146</f>
        <v>0.134980271113874</v>
      </c>
      <c r="BD146" s="197" t="n">
        <f aca="false">Algae_yield_cost_factor/L146</f>
        <v>0.134980271113874</v>
      </c>
      <c r="BE146" s="197" t="n">
        <f aca="false">Algae_yield_cost_factor/M146</f>
        <v>0.128868566807869</v>
      </c>
      <c r="BF146" s="197" t="n">
        <f aca="false">Algae_yield_cost_factor/N146</f>
        <v>0.125462884997731</v>
      </c>
      <c r="BG146" s="197" t="n">
        <f aca="false">Algae_yield_cost_factor/O146</f>
        <v>0.120603930223841</v>
      </c>
      <c r="BH146" s="197" t="n">
        <f aca="false">Algae_yield_cost_factor/P146</f>
        <v>0.114155410549121</v>
      </c>
      <c r="BI146" s="197" t="n">
        <f aca="false">Algae_yield_cost_factor/Q146</f>
        <v>0.106372342206423</v>
      </c>
      <c r="BJ146" s="197" t="n">
        <f aca="false">Algae_yield_cost_factor/R146</f>
        <v>0.0979864146091886</v>
      </c>
      <c r="BK146" s="197" t="n">
        <f aca="false">Algae_yield_cost_factor/S146</f>
        <v>0.0899868474092493</v>
      </c>
      <c r="BL146" s="197" t="n">
        <f aca="false">Algae_yield_cost_factor/T146</f>
        <v>0.0831948564244663</v>
      </c>
      <c r="BM146" s="197" t="n">
        <f aca="false">Algae_yield_cost_factor/U146</f>
        <v>0.0779755652293986</v>
      </c>
      <c r="BN146" s="197" t="n">
        <f aca="false">Algae_yield_cost_factor/V146</f>
        <v>0.0742639561029428</v>
      </c>
      <c r="BO146" s="197" t="n">
        <f aca="false">Algae_yield_cost_factor/W146</f>
        <v>0.0717675886964885</v>
      </c>
      <c r="BP146" s="197" t="n">
        <f aca="false">Algae_yield_cost_factor/X146</f>
        <v>0.0701508951743298</v>
      </c>
      <c r="BQ146" s="197" t="n">
        <f aca="false">Algae_yield_cost_factor/Y146</f>
        <v>0.069129396553839</v>
      </c>
      <c r="BR146" s="197" t="n">
        <f aca="false">Algae_yield_cost_factor/Z146</f>
        <v>0.068493991397398</v>
      </c>
      <c r="BS146" s="197" t="n">
        <f aca="false">Algae_yield_cost_factor/AA146</f>
        <v>0.0681025892919203</v>
      </c>
      <c r="BT146" s="197" t="n">
        <f aca="false">Algae_yield_cost_factor/AB146</f>
        <v>0.0678629386638586</v>
      </c>
      <c r="BU146" s="197" t="n">
        <f aca="false">Algae_yield_cost_factor/AC146</f>
        <v>0.067716744595264</v>
      </c>
    </row>
    <row r="147" customFormat="false" ht="15" hidden="false" customHeight="false" outlineLevel="0" collapsed="false">
      <c r="A147" s="18" t="s">
        <v>713</v>
      </c>
      <c r="B147" s="18" t="s">
        <v>22</v>
      </c>
      <c r="C147" s="18" t="s">
        <v>686</v>
      </c>
      <c r="D147" s="18" t="s">
        <v>686</v>
      </c>
      <c r="E147" s="28" t="n">
        <v>5.07715</v>
      </c>
      <c r="F147" s="185" t="n">
        <f aca="false">E147/$B$2*$F$3/1000</f>
        <v>0.0124390175</v>
      </c>
      <c r="G147" s="18" t="n">
        <f aca="false">LOOKUP(RIGHT(D147,5),Ref!$C$4:$C$21,Ref!$E$4:$E$21)*$G$3</f>
        <v>4.5</v>
      </c>
      <c r="H147" s="218" t="n">
        <f aca="false">$E147</f>
        <v>5.07715</v>
      </c>
      <c r="I147" s="177" t="n">
        <f aca="false">$E147</f>
        <v>5.07715</v>
      </c>
      <c r="J147" s="177" t="n">
        <f aca="false">$E147</f>
        <v>5.07715</v>
      </c>
      <c r="K147" s="177" t="n">
        <f aca="false">$E147</f>
        <v>5.07715</v>
      </c>
      <c r="L147" s="177" t="n">
        <f aca="false">$E147</f>
        <v>5.07715</v>
      </c>
      <c r="M147" s="177" t="n">
        <f aca="false">M$3*$E147</f>
        <v>5.31793827200348</v>
      </c>
      <c r="N147" s="177" t="n">
        <f aca="false">N$3*$E147</f>
        <v>5.46229335869486</v>
      </c>
      <c r="O147" s="177" t="n">
        <f aca="false">O$3*$E147</f>
        <v>5.68236111554459</v>
      </c>
      <c r="P147" s="177" t="n">
        <f aca="false">P$3*$E147</f>
        <v>6.00335174819344</v>
      </c>
      <c r="Q147" s="177" t="n">
        <f aca="false">Q$3*$E147</f>
        <v>6.44260593750867</v>
      </c>
      <c r="R147" s="177" t="n">
        <f aca="false">R$3*$E147</f>
        <v>6.9939806065885</v>
      </c>
      <c r="S147" s="177" t="n">
        <f aca="false">S$3*$E147</f>
        <v>7.615725</v>
      </c>
      <c r="T147" s="177" t="n">
        <f aca="false">T$3*$E147</f>
        <v>8.23746939341149</v>
      </c>
      <c r="U147" s="177" t="n">
        <f aca="false">U$3*$E147</f>
        <v>8.78884406249133</v>
      </c>
      <c r="V147" s="177" t="n">
        <f aca="false">V$3*$E147</f>
        <v>9.22809825180656</v>
      </c>
      <c r="W147" s="177" t="n">
        <f aca="false">W$3*$E147</f>
        <v>9.5490888844554</v>
      </c>
      <c r="X147" s="177" t="n">
        <f aca="false">X$3*$E147</f>
        <v>9.76915664130514</v>
      </c>
      <c r="Y147" s="177" t="n">
        <f aca="false">Y$3*$E147</f>
        <v>9.91351172799652</v>
      </c>
      <c r="Z147" s="177" t="n">
        <f aca="false">Z$3*$E147</f>
        <v>10.0054774076408</v>
      </c>
      <c r="AA147" s="177" t="n">
        <f aca="false">AA$3*$E147</f>
        <v>10.062981314091</v>
      </c>
      <c r="AB147" s="177" t="n">
        <f aca="false">AB$3*$E147</f>
        <v>10.0985176442231</v>
      </c>
      <c r="AC147" s="177" t="n">
        <f aca="false">AC$3*$E147</f>
        <v>10.1203193919298</v>
      </c>
      <c r="AD147" s="219" t="n">
        <f aca="false">Algae_electricity_factor/H147</f>
        <v>0.0027069511642416</v>
      </c>
      <c r="AE147" s="220" t="n">
        <f aca="false">Algae_electricity_factor/I147</f>
        <v>0.0027069511642416</v>
      </c>
      <c r="AF147" s="220" t="n">
        <f aca="false">Algae_electricity_factor/J147</f>
        <v>0.0027069511642416</v>
      </c>
      <c r="AG147" s="220" t="n">
        <f aca="false">Algae_electricity_factor/K147</f>
        <v>0.0027069511642416</v>
      </c>
      <c r="AH147" s="220" t="n">
        <f aca="false">Algae_electricity_factor/L147</f>
        <v>0.0027069511642416</v>
      </c>
      <c r="AI147" s="220" t="n">
        <f aca="false">Algae_electricity_factor/M147</f>
        <v>0.00258438447393852</v>
      </c>
      <c r="AJ147" s="220" t="n">
        <f aca="false">Algae_electricity_factor/N147</f>
        <v>0.00251608549761471</v>
      </c>
      <c r="AK147" s="220" t="n">
        <f aca="false">Algae_electricity_factor/O147</f>
        <v>0.00241864197365642</v>
      </c>
      <c r="AL147" s="220" t="n">
        <f aca="false">Algae_electricity_factor/P147</f>
        <v>0.00228932064619819</v>
      </c>
      <c r="AM147" s="220" t="n">
        <f aca="false">Algae_electricity_factor/Q147</f>
        <v>0.00213323571809886</v>
      </c>
      <c r="AN147" s="220" t="n">
        <f aca="false">Algae_electricity_factor/R147</f>
        <v>0.00196506079679181</v>
      </c>
      <c r="AO147" s="220" t="n">
        <f aca="false">Algae_electricity_factor/S147</f>
        <v>0.0018046341094944</v>
      </c>
      <c r="AP147" s="220" t="n">
        <f aca="false">Algae_electricity_factor/T147</f>
        <v>0.00166842466383204</v>
      </c>
      <c r="AQ147" s="220" t="n">
        <f aca="false">Algae_electricity_factor/U147</f>
        <v>0.00156375480163354</v>
      </c>
      <c r="AR147" s="220" t="n">
        <f aca="false">Algae_electricity_factor/V147</f>
        <v>0.00148932063015678</v>
      </c>
      <c r="AS147" s="220" t="n">
        <f aca="false">Algae_electricity_factor/W147</f>
        <v>0.00143925742757531</v>
      </c>
      <c r="AT147" s="220" t="n">
        <f aca="false">Algae_electricity_factor/X147</f>
        <v>0.00140683557528597</v>
      </c>
      <c r="AU147" s="220" t="n">
        <f aca="false">Algae_electricity_factor/Y147</f>
        <v>0.00138635001204632</v>
      </c>
      <c r="AV147" s="220" t="n">
        <f aca="false">Algae_electricity_factor/Z147</f>
        <v>0.00137360732962466</v>
      </c>
      <c r="AW147" s="220" t="n">
        <f aca="false">Algae_electricity_factor/AA147</f>
        <v>0.00136575798707729</v>
      </c>
      <c r="AX147" s="220" t="n">
        <f aca="false">Algae_electricity_factor/AB147</f>
        <v>0.00136095193252362</v>
      </c>
      <c r="AY147" s="220" t="n">
        <f aca="false">Algae_electricity_factor/AC147</f>
        <v>0.0013580200951453</v>
      </c>
      <c r="AZ147" s="221" t="n">
        <f aca="false">Algae_yield_cost_factor/H147</f>
        <v>0.149856242042527</v>
      </c>
      <c r="BA147" s="197" t="n">
        <f aca="false">Algae_yield_cost_factor/I147</f>
        <v>0.149856242042527</v>
      </c>
      <c r="BB147" s="197" t="n">
        <f aca="false">Algae_yield_cost_factor/J147</f>
        <v>0.149856242042527</v>
      </c>
      <c r="BC147" s="197" t="n">
        <f aca="false">Algae_yield_cost_factor/K147</f>
        <v>0.149856242042527</v>
      </c>
      <c r="BD147" s="197" t="n">
        <f aca="false">Algae_yield_cost_factor/L147</f>
        <v>0.149856242042527</v>
      </c>
      <c r="BE147" s="197" t="n">
        <f aca="false">Algae_yield_cost_factor/M147</f>
        <v>0.143070976075767</v>
      </c>
      <c r="BF147" s="197" t="n">
        <f aca="false">Algae_yield_cost_factor/N147</f>
        <v>0.139289959239394</v>
      </c>
      <c r="BG147" s="197" t="n">
        <f aca="false">Algae_yield_cost_factor/O147</f>
        <v>0.133895506430393</v>
      </c>
      <c r="BH147" s="197" t="n">
        <f aca="false">Algae_yield_cost_factor/P147</f>
        <v>0.126736305184046</v>
      </c>
      <c r="BI147" s="197" t="n">
        <f aca="false">Algae_yield_cost_factor/Q147</f>
        <v>0.118095476685391</v>
      </c>
      <c r="BJ147" s="197" t="n">
        <f aca="false">Algae_yield_cost_factor/R147</f>
        <v>0.108785348728231</v>
      </c>
      <c r="BK147" s="197" t="n">
        <f aca="false">Algae_yield_cost_factor/S147</f>
        <v>0.0999041613616849</v>
      </c>
      <c r="BL147" s="197" t="n">
        <f aca="false">Algae_yield_cost_factor/T147</f>
        <v>0.0923636353532016</v>
      </c>
      <c r="BM147" s="197" t="n">
        <f aca="false">Algae_yield_cost_factor/U147</f>
        <v>0.0865691339926386</v>
      </c>
      <c r="BN147" s="197" t="n">
        <f aca="false">Algae_yield_cost_factor/V147</f>
        <v>0.0824484740544749</v>
      </c>
      <c r="BO147" s="197" t="n">
        <f aca="false">Algae_yield_cost_factor/W147</f>
        <v>0.0796769857828807</v>
      </c>
      <c r="BP147" s="197" t="n">
        <f aca="false">Algae_yield_cost_factor/X147</f>
        <v>0.0778821189199982</v>
      </c>
      <c r="BQ147" s="197" t="n">
        <f aca="false">Algae_yield_cost_factor/Y147</f>
        <v>0.0767480424860486</v>
      </c>
      <c r="BR147" s="197" t="n">
        <f aca="false">Algae_yield_cost_factor/Z147</f>
        <v>0.0760426102911586</v>
      </c>
      <c r="BS147" s="197" t="n">
        <f aca="false">Algae_yield_cost_factor/AA147</f>
        <v>0.0756080723533519</v>
      </c>
      <c r="BT147" s="197" t="n">
        <f aca="false">Algae_yield_cost_factor/AB147</f>
        <v>0.0753420101930962</v>
      </c>
      <c r="BU147" s="197" t="n">
        <f aca="false">Algae_yield_cost_factor/AC147</f>
        <v>0.0751797042979627</v>
      </c>
    </row>
    <row r="148" customFormat="false" ht="15" hidden="false" customHeight="false" outlineLevel="0" collapsed="false">
      <c r="A148" s="18" t="s">
        <v>713</v>
      </c>
      <c r="B148" s="18" t="s">
        <v>22</v>
      </c>
      <c r="C148" s="18" t="s">
        <v>687</v>
      </c>
      <c r="D148" s="18" t="s">
        <v>687</v>
      </c>
      <c r="E148" s="28" t="n">
        <v>5.248335</v>
      </c>
      <c r="F148" s="185" t="n">
        <f aca="false">E148/$B$2*$F$3/1000</f>
        <v>0.01285842075</v>
      </c>
      <c r="G148" s="18" t="n">
        <f aca="false">LOOKUP(RIGHT(D148,5),Ref!$C$4:$C$21,Ref!$E$4:$E$21)*$G$3</f>
        <v>4.5</v>
      </c>
      <c r="H148" s="218" t="n">
        <f aca="false">$E148</f>
        <v>5.248335</v>
      </c>
      <c r="I148" s="177" t="n">
        <f aca="false">$E148</f>
        <v>5.248335</v>
      </c>
      <c r="J148" s="177" t="n">
        <f aca="false">$E148</f>
        <v>5.248335</v>
      </c>
      <c r="K148" s="177" t="n">
        <f aca="false">$E148</f>
        <v>5.248335</v>
      </c>
      <c r="L148" s="177" t="n">
        <f aca="false">$E148</f>
        <v>5.248335</v>
      </c>
      <c r="M148" s="177" t="n">
        <f aca="false">M$3*$E148</f>
        <v>5.49724187010339</v>
      </c>
      <c r="N148" s="177" t="n">
        <f aca="false">N$3*$E148</f>
        <v>5.64646414124179</v>
      </c>
      <c r="O148" s="177" t="n">
        <f aca="false">O$3*$E148</f>
        <v>5.87395186775095</v>
      </c>
      <c r="P148" s="177" t="n">
        <f aca="false">P$3*$E148</f>
        <v>6.20576526148623</v>
      </c>
      <c r="Q148" s="177" t="n">
        <f aca="false">Q$3*$E148</f>
        <v>6.65982967472589</v>
      </c>
      <c r="R148" s="177" t="n">
        <f aca="false">R$3*$E148</f>
        <v>7.22979490597672</v>
      </c>
      <c r="S148" s="177" t="n">
        <f aca="false">S$3*$E148</f>
        <v>7.8725025</v>
      </c>
      <c r="T148" s="177" t="n">
        <f aca="false">T$3*$E148</f>
        <v>8.51521009402329</v>
      </c>
      <c r="U148" s="177" t="n">
        <f aca="false">U$3*$E148</f>
        <v>9.08517532527411</v>
      </c>
      <c r="V148" s="177" t="n">
        <f aca="false">V$3*$E148</f>
        <v>9.53923973851377</v>
      </c>
      <c r="W148" s="177" t="n">
        <f aca="false">W$3*$E148</f>
        <v>9.87105313224905</v>
      </c>
      <c r="X148" s="177" t="n">
        <f aca="false">X$3*$E148</f>
        <v>10.0985408587582</v>
      </c>
      <c r="Y148" s="177" t="n">
        <f aca="false">Y$3*$E148</f>
        <v>10.2477631298966</v>
      </c>
      <c r="Z148" s="177" t="n">
        <f aca="false">Z$3*$E148</f>
        <v>10.3428295934196</v>
      </c>
      <c r="AA148" s="177" t="n">
        <f aca="false">AA$3*$E148</f>
        <v>10.4022723447386</v>
      </c>
      <c r="AB148" s="177" t="n">
        <f aca="false">AB$3*$E148</f>
        <v>10.4390068444489</v>
      </c>
      <c r="AC148" s="177" t="n">
        <f aca="false">AC$3*$E148</f>
        <v>10.4615436762443</v>
      </c>
      <c r="AD148" s="219" t="n">
        <f aca="false">Algae_electricity_factor/H148</f>
        <v>0.00261865850856115</v>
      </c>
      <c r="AE148" s="220" t="n">
        <f aca="false">Algae_electricity_factor/I148</f>
        <v>0.00261865850856115</v>
      </c>
      <c r="AF148" s="220" t="n">
        <f aca="false">Algae_electricity_factor/J148</f>
        <v>0.00261865850856115</v>
      </c>
      <c r="AG148" s="220" t="n">
        <f aca="false">Algae_electricity_factor/K148</f>
        <v>0.00261865850856115</v>
      </c>
      <c r="AH148" s="220" t="n">
        <f aca="false">Algae_electricity_factor/L148</f>
        <v>0.00261865850856115</v>
      </c>
      <c r="AI148" s="220" t="n">
        <f aca="false">Algae_electricity_factor/M148</f>
        <v>0.00250008957733395</v>
      </c>
      <c r="AJ148" s="220" t="n">
        <f aca="false">Algae_electricity_factor/N148</f>
        <v>0.00243401830946662</v>
      </c>
      <c r="AK148" s="220" t="n">
        <f aca="false">Algae_electricity_factor/O148</f>
        <v>0.00233975310199324</v>
      </c>
      <c r="AL148" s="220" t="n">
        <f aca="false">Algae_electricity_factor/P148</f>
        <v>0.00221464984968474</v>
      </c>
      <c r="AM148" s="220" t="n">
        <f aca="false">Algae_electricity_factor/Q148</f>
        <v>0.00206365594538946</v>
      </c>
      <c r="AN148" s="220" t="n">
        <f aca="false">Algae_electricity_factor/R148</f>
        <v>0.00190096638732694</v>
      </c>
      <c r="AO148" s="220" t="n">
        <f aca="false">Algae_electricity_factor/S148</f>
        <v>0.00174577233904076</v>
      </c>
      <c r="AP148" s="220" t="n">
        <f aca="false">Algae_electricity_factor/T148</f>
        <v>0.0016140056383548</v>
      </c>
      <c r="AQ148" s="220" t="n">
        <f aca="false">Algae_electricity_factor/U148</f>
        <v>0.00151274979419449</v>
      </c>
      <c r="AR148" s="220" t="n">
        <f aca="false">Algae_electricity_factor/V148</f>
        <v>0.00144074344290151</v>
      </c>
      <c r="AS148" s="220" t="n">
        <f aca="false">Algae_electricity_factor/W148</f>
        <v>0.00139231315234526</v>
      </c>
      <c r="AT148" s="220" t="n">
        <f aca="false">Algae_electricity_factor/X148</f>
        <v>0.00136094880396605</v>
      </c>
      <c r="AU148" s="220" t="n">
        <f aca="false">Algae_electricity_factor/Y148</f>
        <v>0.00134113141856626</v>
      </c>
      <c r="AV148" s="220" t="n">
        <f aca="false">Algae_electricity_factor/Z148</f>
        <v>0.00132880436435628</v>
      </c>
      <c r="AW148" s="220" t="n">
        <f aca="false">Algae_electricity_factor/AA148</f>
        <v>0.00132121104390049</v>
      </c>
      <c r="AX148" s="220" t="n">
        <f aca="false">Algae_electricity_factor/AB148</f>
        <v>0.00131656174848067</v>
      </c>
      <c r="AY148" s="220" t="n">
        <f aca="false">Algae_electricity_factor/AC148</f>
        <v>0.00131372553887413</v>
      </c>
      <c r="AZ148" s="221" t="n">
        <f aca="false">Algae_yield_cost_factor/H148</f>
        <v>0.144968379359591</v>
      </c>
      <c r="BA148" s="197" t="n">
        <f aca="false">Algae_yield_cost_factor/I148</f>
        <v>0.144968379359591</v>
      </c>
      <c r="BB148" s="197" t="n">
        <f aca="false">Algae_yield_cost_factor/J148</f>
        <v>0.144968379359591</v>
      </c>
      <c r="BC148" s="197" t="n">
        <f aca="false">Algae_yield_cost_factor/K148</f>
        <v>0.144968379359591</v>
      </c>
      <c r="BD148" s="197" t="n">
        <f aca="false">Algae_yield_cost_factor/L148</f>
        <v>0.144968379359591</v>
      </c>
      <c r="BE148" s="197" t="n">
        <f aca="false">Algae_yield_cost_factor/M148</f>
        <v>0.138404428486955</v>
      </c>
      <c r="BF148" s="197" t="n">
        <f aca="false">Algae_yield_cost_factor/N148</f>
        <v>0.134746737118017</v>
      </c>
      <c r="BG148" s="197" t="n">
        <f aca="false">Algae_yield_cost_factor/O148</f>
        <v>0.129528235235188</v>
      </c>
      <c r="BH148" s="197" t="n">
        <f aca="false">Algae_yield_cost_factor/P148</f>
        <v>0.122602545734062</v>
      </c>
      <c r="BI148" s="197" t="n">
        <f aca="false">Algae_yield_cost_factor/Q148</f>
        <v>0.114243555232895</v>
      </c>
      <c r="BJ148" s="197" t="n">
        <f aca="false">Algae_yield_cost_factor/R148</f>
        <v>0.105237095820968</v>
      </c>
      <c r="BK148" s="197" t="n">
        <f aca="false">Algae_yield_cost_factor/S148</f>
        <v>0.0966455862397272</v>
      </c>
      <c r="BL148" s="197" t="n">
        <f aca="false">Algae_yield_cost_factor/T148</f>
        <v>0.0893510096503953</v>
      </c>
      <c r="BM148" s="197" t="n">
        <f aca="false">Algae_yield_cost_factor/U148</f>
        <v>0.0837455076039782</v>
      </c>
      <c r="BN148" s="197" t="n">
        <f aca="false">Algae_yield_cost_factor/V148</f>
        <v>0.0797592512760098</v>
      </c>
      <c r="BO148" s="197" t="n">
        <f aca="false">Algae_yield_cost_factor/W148</f>
        <v>0.0770781606676314</v>
      </c>
      <c r="BP148" s="197" t="n">
        <f aca="false">Algae_yield_cost_factor/X148</f>
        <v>0.0753418369968131</v>
      </c>
      <c r="BQ148" s="197" t="n">
        <f aca="false">Algae_yield_cost_factor/Y148</f>
        <v>0.0742447507462922</v>
      </c>
      <c r="BR148" s="197" t="n">
        <f aca="false">Algae_yield_cost_factor/Z148</f>
        <v>0.0735623276410054</v>
      </c>
      <c r="BS148" s="197" t="n">
        <f aca="false">Algae_yield_cost_factor/AA148</f>
        <v>0.0731419630318607</v>
      </c>
      <c r="BT148" s="197" t="n">
        <f aca="false">Algae_yield_cost_factor/AB148</f>
        <v>0.0728845790239912</v>
      </c>
      <c r="BU148" s="197" t="n">
        <f aca="false">Algae_yield_cost_factor/AC148</f>
        <v>0.0727275670620114</v>
      </c>
    </row>
    <row r="149" customFormat="false" ht="15" hidden="false" customHeight="false" outlineLevel="0" collapsed="false">
      <c r="A149" s="18" t="s">
        <v>713</v>
      </c>
      <c r="B149" s="18" t="s">
        <v>22</v>
      </c>
      <c r="C149" s="18" t="s">
        <v>688</v>
      </c>
      <c r="D149" s="18" t="s">
        <v>688</v>
      </c>
      <c r="E149" s="28" t="n">
        <v>5.199425</v>
      </c>
      <c r="F149" s="185" t="n">
        <f aca="false">E149/$B$2*$F$3/1000</f>
        <v>0.01273859125</v>
      </c>
      <c r="G149" s="18" t="n">
        <f aca="false">LOOKUP(RIGHT(D149,5),Ref!$C$4:$C$21,Ref!$E$4:$E$21)*$G$3</f>
        <v>4.5</v>
      </c>
      <c r="H149" s="218" t="n">
        <f aca="false">$E149</f>
        <v>5.199425</v>
      </c>
      <c r="I149" s="177" t="n">
        <f aca="false">$E149</f>
        <v>5.199425</v>
      </c>
      <c r="J149" s="177" t="n">
        <f aca="false">$E149</f>
        <v>5.199425</v>
      </c>
      <c r="K149" s="177" t="n">
        <f aca="false">$E149</f>
        <v>5.199425</v>
      </c>
      <c r="L149" s="177" t="n">
        <f aca="false">$E149</f>
        <v>5.199425</v>
      </c>
      <c r="M149" s="177" t="n">
        <f aca="false">M$3*$E149</f>
        <v>5.44601227064627</v>
      </c>
      <c r="N149" s="177" t="n">
        <f aca="false">N$3*$E149</f>
        <v>5.59384391765695</v>
      </c>
      <c r="O149" s="177" t="n">
        <f aca="false">O$3*$E149</f>
        <v>5.81921165283485</v>
      </c>
      <c r="P149" s="177" t="n">
        <f aca="false">P$3*$E149</f>
        <v>6.14793282911686</v>
      </c>
      <c r="Q149" s="177" t="n">
        <f aca="false">Q$3*$E149</f>
        <v>6.59776574980669</v>
      </c>
      <c r="R149" s="177" t="n">
        <f aca="false">R$3*$E149</f>
        <v>7.1624193918658</v>
      </c>
      <c r="S149" s="177" t="n">
        <f aca="false">S$3*$E149</f>
        <v>7.7991375</v>
      </c>
      <c r="T149" s="177" t="n">
        <f aca="false">T$3*$E149</f>
        <v>8.4358556081342</v>
      </c>
      <c r="U149" s="177" t="n">
        <f aca="false">U$3*$E149</f>
        <v>9.00050925019331</v>
      </c>
      <c r="V149" s="177" t="n">
        <f aca="false">V$3*$E149</f>
        <v>9.45034217088313</v>
      </c>
      <c r="W149" s="177" t="n">
        <f aca="false">W$3*$E149</f>
        <v>9.77906334716515</v>
      </c>
      <c r="X149" s="177" t="n">
        <f aca="false">X$3*$E149</f>
        <v>10.004431082343</v>
      </c>
      <c r="Y149" s="177" t="n">
        <f aca="false">Y$3*$E149</f>
        <v>10.1522627293537</v>
      </c>
      <c r="Z149" s="177" t="n">
        <f aca="false">Z$3*$E149</f>
        <v>10.2464432546256</v>
      </c>
      <c r="AA149" s="177" t="n">
        <f aca="false">AA$3*$E149</f>
        <v>10.3053320502679</v>
      </c>
      <c r="AB149" s="177" t="n">
        <f aca="false">AB$3*$E149</f>
        <v>10.3417242158129</v>
      </c>
      <c r="AC149" s="177" t="n">
        <f aca="false">AC$3*$E149</f>
        <v>10.364051023583</v>
      </c>
      <c r="AD149" s="219" t="n">
        <f aca="false">Algae_electricity_factor/H149</f>
        <v>0.0026432917300527</v>
      </c>
      <c r="AE149" s="220" t="n">
        <f aca="false">Algae_electricity_factor/I149</f>
        <v>0.0026432917300527</v>
      </c>
      <c r="AF149" s="220" t="n">
        <f aca="false">Algae_electricity_factor/J149</f>
        <v>0.0026432917300527</v>
      </c>
      <c r="AG149" s="220" t="n">
        <f aca="false">Algae_electricity_factor/K149</f>
        <v>0.0026432917300527</v>
      </c>
      <c r="AH149" s="220" t="n">
        <f aca="false">Algae_electricity_factor/L149</f>
        <v>0.0026432917300527</v>
      </c>
      <c r="AI149" s="220" t="n">
        <f aca="false">Algae_electricity_factor/M149</f>
        <v>0.00252360744348788</v>
      </c>
      <c r="AJ149" s="220" t="n">
        <f aca="false">Algae_electricity_factor/N149</f>
        <v>0.00245691465579646</v>
      </c>
      <c r="AK149" s="220" t="n">
        <f aca="false">Algae_electricity_factor/O149</f>
        <v>0.00236176271348268</v>
      </c>
      <c r="AL149" s="220" t="n">
        <f aca="false">Algae_electricity_factor/P149</f>
        <v>0.00223548263872354</v>
      </c>
      <c r="AM149" s="220" t="n">
        <f aca="false">Algae_electricity_factor/Q149</f>
        <v>0.00208306836354897</v>
      </c>
      <c r="AN149" s="220" t="n">
        <f aca="false">Algae_electricity_factor/R149</f>
        <v>0.00191884841582127</v>
      </c>
      <c r="AO149" s="220" t="n">
        <f aca="false">Algae_electricity_factor/S149</f>
        <v>0.0017621944867018</v>
      </c>
      <c r="AP149" s="220" t="n">
        <f aca="false">Algae_electricity_factor/T149</f>
        <v>0.00162918828177632</v>
      </c>
      <c r="AQ149" s="220" t="n">
        <f aca="false">Algae_electricity_factor/U149</f>
        <v>0.00152697994318867</v>
      </c>
      <c r="AR149" s="220" t="n">
        <f aca="false">Algae_electricity_factor/V149</f>
        <v>0.001454296241873</v>
      </c>
      <c r="AS149" s="220" t="n">
        <f aca="false">Algae_electricity_factor/W149</f>
        <v>0.00140541037680397</v>
      </c>
      <c r="AT149" s="220" t="n">
        <f aca="false">Algae_electricity_factor/X149</f>
        <v>0.00137375098997738</v>
      </c>
      <c r="AU149" s="220" t="n">
        <f aca="false">Algae_electricity_factor/Y149</f>
        <v>0.0013537471862102</v>
      </c>
      <c r="AV149" s="220" t="n">
        <f aca="false">Algae_electricity_factor/Z149</f>
        <v>0.00134130417375072</v>
      </c>
      <c r="AW149" s="220" t="n">
        <f aca="false">Algae_electricity_factor/AA149</f>
        <v>0.00133363942437663</v>
      </c>
      <c r="AX149" s="220" t="n">
        <f aca="false">Algae_electricity_factor/AB149</f>
        <v>0.00132894639392092</v>
      </c>
      <c r="AY149" s="220" t="n">
        <f aca="false">Algae_electricity_factor/AC149</f>
        <v>0.00132608350463117</v>
      </c>
      <c r="AZ149" s="221" t="n">
        <f aca="false">Algae_yield_cost_factor/H149</f>
        <v>0.14633206927424</v>
      </c>
      <c r="BA149" s="197" t="n">
        <f aca="false">Algae_yield_cost_factor/I149</f>
        <v>0.14633206927424</v>
      </c>
      <c r="BB149" s="197" t="n">
        <f aca="false">Algae_yield_cost_factor/J149</f>
        <v>0.14633206927424</v>
      </c>
      <c r="BC149" s="197" t="n">
        <f aca="false">Algae_yield_cost_factor/K149</f>
        <v>0.14633206927424</v>
      </c>
      <c r="BD149" s="197" t="n">
        <f aca="false">Algae_yield_cost_factor/L149</f>
        <v>0.14633206927424</v>
      </c>
      <c r="BE149" s="197" t="n">
        <f aca="false">Algae_yield_cost_factor/M149</f>
        <v>0.13970637256679</v>
      </c>
      <c r="BF149" s="197" t="n">
        <f aca="false">Algae_yield_cost_factor/N149</f>
        <v>0.136014273992276</v>
      </c>
      <c r="BG149" s="197" t="n">
        <f aca="false">Algae_yield_cost_factor/O149</f>
        <v>0.130746682656846</v>
      </c>
      <c r="BH149" s="197" t="n">
        <f aca="false">Algae_yield_cost_factor/P149</f>
        <v>0.123755844514572</v>
      </c>
      <c r="BI149" s="197" t="n">
        <f aca="false">Algae_yield_cost_factor/Q149</f>
        <v>0.115318222582927</v>
      </c>
      <c r="BJ149" s="197" t="n">
        <f aca="false">Algae_yield_cost_factor/R149</f>
        <v>0.106227041123882</v>
      </c>
      <c r="BK149" s="197" t="n">
        <f aca="false">Algae_yield_cost_factor/S149</f>
        <v>0.0975547128494937</v>
      </c>
      <c r="BL149" s="197" t="n">
        <f aca="false">Algae_yield_cost_factor/T149</f>
        <v>0.0901915175684825</v>
      </c>
      <c r="BM149" s="197" t="n">
        <f aca="false">Algae_yield_cost_factor/U149</f>
        <v>0.0845332856326853</v>
      </c>
      <c r="BN149" s="197" t="n">
        <f aca="false">Algae_yield_cost_factor/V149</f>
        <v>0.0805095313511931</v>
      </c>
      <c r="BO149" s="197" t="n">
        <f aca="false">Algae_yield_cost_factor/W149</f>
        <v>0.0778032202344592</v>
      </c>
      <c r="BP149" s="197" t="n">
        <f aca="false">Algae_yield_cost_factor/X149</f>
        <v>0.076050563297801</v>
      </c>
      <c r="BQ149" s="197" t="n">
        <f aca="false">Algae_yield_cost_factor/Y149</f>
        <v>0.0749431569660187</v>
      </c>
      <c r="BR149" s="197" t="n">
        <f aca="false">Algae_yield_cost_factor/Z149</f>
        <v>0.0742543144366456</v>
      </c>
      <c r="BS149" s="197" t="n">
        <f aca="false">Algae_yield_cost_factor/AA149</f>
        <v>0.0738299955377413</v>
      </c>
      <c r="BT149" s="197" t="n">
        <f aca="false">Algae_yield_cost_factor/AB149</f>
        <v>0.0735701903675654</v>
      </c>
      <c r="BU149" s="197" t="n">
        <f aca="false">Algae_yield_cost_factor/AC149</f>
        <v>0.0734117014239846</v>
      </c>
    </row>
    <row r="150" customFormat="false" ht="15" hidden="false" customHeight="false" outlineLevel="0" collapsed="false">
      <c r="A150" s="18" t="s">
        <v>714</v>
      </c>
      <c r="B150" s="18" t="s">
        <v>22</v>
      </c>
      <c r="C150" s="18" t="s">
        <v>690</v>
      </c>
      <c r="D150" s="18" t="s">
        <v>690</v>
      </c>
      <c r="E150" s="28" t="n">
        <v>6.8724755</v>
      </c>
      <c r="F150" s="185" t="n">
        <f aca="false">E150/$B$2*$F$3/1000</f>
        <v>0.016837564975</v>
      </c>
      <c r="G150" s="18" t="n">
        <f aca="false">LOOKUP(RIGHT(D150,5),Ref!$C$4:$C$21,Ref!$E$4:$E$21)*$G$3</f>
        <v>1.5</v>
      </c>
      <c r="H150" s="218" t="n">
        <f aca="false">$E150</f>
        <v>6.8724755</v>
      </c>
      <c r="I150" s="177" t="n">
        <f aca="false">$E150</f>
        <v>6.8724755</v>
      </c>
      <c r="J150" s="177" t="n">
        <f aca="false">$E150</f>
        <v>6.8724755</v>
      </c>
      <c r="K150" s="177" t="n">
        <f aca="false">$E150</f>
        <v>6.8724755</v>
      </c>
      <c r="L150" s="177" t="n">
        <f aca="false">$E150</f>
        <v>6.8724755</v>
      </c>
      <c r="M150" s="177" t="n">
        <f aca="false">M$3*$E150</f>
        <v>7.19840865147893</v>
      </c>
      <c r="N150" s="177" t="n">
        <f aca="false">N$3*$E150</f>
        <v>7.39380898367059</v>
      </c>
      <c r="O150" s="177" t="n">
        <f aca="false">O$3*$E150</f>
        <v>7.69169466112541</v>
      </c>
      <c r="P150" s="177" t="n">
        <f aca="false">P$3*$E150</f>
        <v>8.12619044293385</v>
      </c>
      <c r="Q150" s="177" t="n">
        <f aca="false">Q$3*$E150</f>
        <v>8.72076882930047</v>
      </c>
      <c r="R150" s="177" t="n">
        <f aca="false">R$3*$E150</f>
        <v>9.46711449656887</v>
      </c>
      <c r="S150" s="177" t="n">
        <f aca="false">S$3*$E150</f>
        <v>10.30871325</v>
      </c>
      <c r="T150" s="177" t="n">
        <f aca="false">T$3*$E150</f>
        <v>11.1503120034311</v>
      </c>
      <c r="U150" s="177" t="n">
        <f aca="false">U$3*$E150</f>
        <v>11.8966576706995</v>
      </c>
      <c r="V150" s="177" t="n">
        <f aca="false">V$3*$E150</f>
        <v>12.4912360570662</v>
      </c>
      <c r="W150" s="177" t="n">
        <f aca="false">W$3*$E150</f>
        <v>12.9257318388746</v>
      </c>
      <c r="X150" s="177" t="n">
        <f aca="false">X$3*$E150</f>
        <v>13.2236175163294</v>
      </c>
      <c r="Y150" s="177" t="n">
        <f aca="false">Y$3*$E150</f>
        <v>13.4190178485211</v>
      </c>
      <c r="Z150" s="177" t="n">
        <f aca="false">Z$3*$E150</f>
        <v>13.543503412311</v>
      </c>
      <c r="AA150" s="177" t="n">
        <f aca="false">AA$3*$E150</f>
        <v>13.6213412126977</v>
      </c>
      <c r="AB150" s="177" t="n">
        <f aca="false">AB$3*$E150</f>
        <v>13.6694435059513</v>
      </c>
      <c r="AC150" s="177" t="n">
        <f aca="false">AC$3*$E150</f>
        <v>13.6989545459977</v>
      </c>
      <c r="AD150" s="219" t="n">
        <f aca="false">Algae_electricity_factor/H150</f>
        <v>0.00199980299726485</v>
      </c>
      <c r="AE150" s="220" t="n">
        <f aca="false">Algae_electricity_factor/I150</f>
        <v>0.00199980299726485</v>
      </c>
      <c r="AF150" s="220" t="n">
        <f aca="false">Algae_electricity_factor/J150</f>
        <v>0.00199980299726485</v>
      </c>
      <c r="AG150" s="220" t="n">
        <f aca="false">Algae_electricity_factor/K150</f>
        <v>0.00199980299726485</v>
      </c>
      <c r="AH150" s="220" t="n">
        <f aca="false">Algae_electricity_factor/L150</f>
        <v>0.00199980299726485</v>
      </c>
      <c r="AI150" s="220" t="n">
        <f aca="false">Algae_electricity_factor/M150</f>
        <v>0.00190925491576608</v>
      </c>
      <c r="AJ150" s="220" t="n">
        <f aca="false">Algae_electricity_factor/N150</f>
        <v>0.00185879796649905</v>
      </c>
      <c r="AK150" s="220" t="n">
        <f aca="false">Algae_electricity_factor/O150</f>
        <v>0.00178681002159261</v>
      </c>
      <c r="AL150" s="220" t="n">
        <f aca="false">Algae_electricity_factor/P150</f>
        <v>0.00169127184503534</v>
      </c>
      <c r="AM150" s="220" t="n">
        <f aca="false">Algae_electricity_factor/Q150</f>
        <v>0.00157596163509722</v>
      </c>
      <c r="AN150" s="220" t="n">
        <f aca="false">Algae_electricity_factor/R150</f>
        <v>0.00145171975141003</v>
      </c>
      <c r="AO150" s="220" t="n">
        <f aca="false">Algae_electricity_factor/S150</f>
        <v>0.00133320199817657</v>
      </c>
      <c r="AP150" s="220" t="n">
        <f aca="false">Algae_electricity_factor/T150</f>
        <v>0.00123257511532414</v>
      </c>
      <c r="AQ150" s="220" t="n">
        <f aca="false">Algae_electricity_factor/U150</f>
        <v>0.00115524859872018</v>
      </c>
      <c r="AR150" s="220" t="n">
        <f aca="false">Algae_electricity_factor/V150</f>
        <v>0.0011002591769735</v>
      </c>
      <c r="AS150" s="220" t="n">
        <f aca="false">Algae_electricity_factor/W150</f>
        <v>0.00106327419405336</v>
      </c>
      <c r="AT150" s="220" t="n">
        <f aca="false">Algae_electricity_factor/X150</f>
        <v>0.00103932203775236</v>
      </c>
      <c r="AU150" s="220" t="n">
        <f aca="false">Algae_electricity_factor/Y150</f>
        <v>0.00102418800382205</v>
      </c>
      <c r="AV150" s="220" t="n">
        <f aca="false">Algae_electricity_factor/Z150</f>
        <v>0.00101477414559045</v>
      </c>
      <c r="AW150" s="220" t="n">
        <f aca="false">Algae_electricity_factor/AA150</f>
        <v>0.00100897531960492</v>
      </c>
      <c r="AX150" s="220" t="n">
        <f aca="false">Algae_electricity_factor/AB150</f>
        <v>0.00100542477077034</v>
      </c>
      <c r="AY150" s="220" t="n">
        <f aca="false">Algae_electricity_factor/AC150</f>
        <v>0.00100325882952467</v>
      </c>
      <c r="AZ150" s="221" t="n">
        <f aca="false">Algae_yield_cost_factor/H150</f>
        <v>0.11070866957419</v>
      </c>
      <c r="BA150" s="197" t="n">
        <f aca="false">Algae_yield_cost_factor/I150</f>
        <v>0.11070866957419</v>
      </c>
      <c r="BB150" s="197" t="n">
        <f aca="false">Algae_yield_cost_factor/J150</f>
        <v>0.11070866957419</v>
      </c>
      <c r="BC150" s="197" t="n">
        <f aca="false">Algae_yield_cost_factor/K150</f>
        <v>0.11070866957419</v>
      </c>
      <c r="BD150" s="197" t="n">
        <f aca="false">Algae_yield_cost_factor/L150</f>
        <v>0.11070866957419</v>
      </c>
      <c r="BE150" s="197" t="n">
        <f aca="false">Algae_yield_cost_factor/M150</f>
        <v>0.105695946996549</v>
      </c>
      <c r="BF150" s="197" t="n">
        <f aca="false">Algae_yield_cost_factor/N150</f>
        <v>0.102902660991995</v>
      </c>
      <c r="BG150" s="197" t="n">
        <f aca="false">Algae_yield_cost_factor/O150</f>
        <v>0.0989174236376792</v>
      </c>
      <c r="BH150" s="197" t="n">
        <f aca="false">Algae_yield_cost_factor/P150</f>
        <v>0.0936284504564879</v>
      </c>
      <c r="BI150" s="197" t="n">
        <f aca="false">Algae_yield_cost_factor/Q150</f>
        <v>0.0872449017029211</v>
      </c>
      <c r="BJ150" s="197" t="n">
        <f aca="false">Algae_yield_cost_factor/R150</f>
        <v>0.0803668973858895</v>
      </c>
      <c r="BK150" s="197" t="n">
        <f aca="false">Algae_yield_cost_factor/S150</f>
        <v>0.0738057797161268</v>
      </c>
      <c r="BL150" s="197" t="n">
        <f aca="false">Algae_yield_cost_factor/T150</f>
        <v>0.0682350968342495</v>
      </c>
      <c r="BM150" s="197" t="n">
        <f aca="false">Algae_yield_cost_factor/U150</f>
        <v>0.0639543172835938</v>
      </c>
      <c r="BN150" s="197" t="n">
        <f aca="false">Algae_yield_cost_factor/V150</f>
        <v>0.0609101145643483</v>
      </c>
      <c r="BO150" s="197" t="n">
        <f aca="false">Algae_yield_cost_factor/W150</f>
        <v>0.0588626337580327</v>
      </c>
      <c r="BP150" s="197" t="n">
        <f aca="false">Algae_yield_cost_factor/X150</f>
        <v>0.0575366474678111</v>
      </c>
      <c r="BQ150" s="197" t="n">
        <f aca="false">Algae_yield_cost_factor/Y150</f>
        <v>0.0566988305608425</v>
      </c>
      <c r="BR150" s="197" t="n">
        <f aca="false">Algae_yield_cost_factor/Z150</f>
        <v>0.0561776813667442</v>
      </c>
      <c r="BS150" s="197" t="n">
        <f aca="false">Algae_yield_cost_factor/AA150</f>
        <v>0.0558566595906847</v>
      </c>
      <c r="BT150" s="197" t="n">
        <f aca="false">Algae_yield_cost_factor/AB150</f>
        <v>0.0556601019606223</v>
      </c>
      <c r="BU150" s="197" t="n">
        <f aca="false">Algae_yield_cost_factor/AC150</f>
        <v>0.0555401959128703</v>
      </c>
    </row>
    <row r="151" customFormat="false" ht="15" hidden="false" customHeight="false" outlineLevel="0" collapsed="false">
      <c r="A151" s="18" t="s">
        <v>714</v>
      </c>
      <c r="B151" s="18" t="s">
        <v>22</v>
      </c>
      <c r="C151" s="18" t="s">
        <v>691</v>
      </c>
      <c r="D151" s="18" t="s">
        <v>691</v>
      </c>
      <c r="E151" s="28" t="n">
        <v>6.39188</v>
      </c>
      <c r="F151" s="185" t="n">
        <f aca="false">E151/$B$2*$F$3/1000</f>
        <v>0.015660106</v>
      </c>
      <c r="G151" s="18" t="n">
        <f aca="false">LOOKUP(RIGHT(D151,5),Ref!$C$4:$C$21,Ref!$E$4:$E$21)*$G$3</f>
        <v>2</v>
      </c>
      <c r="H151" s="218" t="n">
        <f aca="false">$E151</f>
        <v>6.39188</v>
      </c>
      <c r="I151" s="177" t="n">
        <f aca="false">$E151</f>
        <v>6.39188</v>
      </c>
      <c r="J151" s="177" t="n">
        <f aca="false">$E151</f>
        <v>6.39188</v>
      </c>
      <c r="K151" s="177" t="n">
        <f aca="false">$E151</f>
        <v>6.39188</v>
      </c>
      <c r="L151" s="177" t="n">
        <f aca="false">$E151</f>
        <v>6.39188</v>
      </c>
      <c r="M151" s="177" t="n">
        <f aca="false">M$3*$E151</f>
        <v>6.69502049024622</v>
      </c>
      <c r="N151" s="177" t="n">
        <f aca="false">N$3*$E151</f>
        <v>6.87675638371419</v>
      </c>
      <c r="O151" s="177" t="n">
        <f aca="false">O$3*$E151</f>
        <v>7.15381077321473</v>
      </c>
      <c r="P151" s="177" t="n">
        <f aca="false">P$3*$E151</f>
        <v>7.55792205710737</v>
      </c>
      <c r="Q151" s="177" t="n">
        <f aca="false">Q$3*$E151</f>
        <v>8.11092129242645</v>
      </c>
      <c r="R151" s="177" t="n">
        <f aca="false">R$3*$E151</f>
        <v>8.80507465007749</v>
      </c>
      <c r="S151" s="177" t="n">
        <f aca="false">S$3*$E151</f>
        <v>9.58782</v>
      </c>
      <c r="T151" s="177" t="n">
        <f aca="false">T$3*$E151</f>
        <v>10.3705653499225</v>
      </c>
      <c r="U151" s="177" t="n">
        <f aca="false">U$3*$E151</f>
        <v>11.0647187075736</v>
      </c>
      <c r="V151" s="177" t="n">
        <f aca="false">V$3*$E151</f>
        <v>11.6177179428926</v>
      </c>
      <c r="W151" s="177" t="n">
        <f aca="false">W$3*$E151</f>
        <v>12.0218292267853</v>
      </c>
      <c r="X151" s="177" t="n">
        <f aca="false">X$3*$E151</f>
        <v>12.2988836162858</v>
      </c>
      <c r="Y151" s="177" t="n">
        <f aca="false">Y$3*$E151</f>
        <v>12.4806195097538</v>
      </c>
      <c r="Z151" s="177" t="n">
        <f aca="false">Z$3*$E151</f>
        <v>12.596399738505</v>
      </c>
      <c r="AA151" s="177" t="n">
        <f aca="false">AA$3*$E151</f>
        <v>12.6687943042675</v>
      </c>
      <c r="AB151" s="177" t="n">
        <f aca="false">AB$3*$E151</f>
        <v>12.7135327811384</v>
      </c>
      <c r="AC151" s="177" t="n">
        <f aca="false">AC$3*$E151</f>
        <v>12.7409801000341</v>
      </c>
      <c r="AD151" s="219" t="n">
        <f aca="false">Algae_electricity_factor/H151</f>
        <v>0.00215016506935819</v>
      </c>
      <c r="AE151" s="220" t="n">
        <f aca="false">Algae_electricity_factor/I151</f>
        <v>0.00215016506935819</v>
      </c>
      <c r="AF151" s="220" t="n">
        <f aca="false">Algae_electricity_factor/J151</f>
        <v>0.00215016506935819</v>
      </c>
      <c r="AG151" s="220" t="n">
        <f aca="false">Algae_electricity_factor/K151</f>
        <v>0.00215016506935819</v>
      </c>
      <c r="AH151" s="220" t="n">
        <f aca="false">Algae_electricity_factor/L151</f>
        <v>0.00215016506935819</v>
      </c>
      <c r="AI151" s="220" t="n">
        <f aca="false">Algae_electricity_factor/M151</f>
        <v>0.00205280881866633</v>
      </c>
      <c r="AJ151" s="220" t="n">
        <f aca="false">Algae_electricity_factor/N151</f>
        <v>0.00199855808998519</v>
      </c>
      <c r="AK151" s="220" t="n">
        <f aca="false">Algae_electricity_factor/O151</f>
        <v>0.00192115748364326</v>
      </c>
      <c r="AL151" s="220" t="n">
        <f aca="false">Algae_electricity_factor/P151</f>
        <v>0.00181843594041896</v>
      </c>
      <c r="AM151" s="220" t="n">
        <f aca="false">Algae_electricity_factor/Q151</f>
        <v>0.00169445573542457</v>
      </c>
      <c r="AN151" s="220" t="n">
        <f aca="false">Algae_electricity_factor/R151</f>
        <v>0.00156087229804557</v>
      </c>
      <c r="AO151" s="220" t="n">
        <f aca="false">Algae_electricity_factor/S151</f>
        <v>0.00143344337957213</v>
      </c>
      <c r="AP151" s="220" t="n">
        <f aca="false">Algae_electricity_factor/T151</f>
        <v>0.00132525051815347</v>
      </c>
      <c r="AQ151" s="220" t="n">
        <f aca="false">Algae_electricity_factor/U151</f>
        <v>0.00124210994122445</v>
      </c>
      <c r="AR151" s="220" t="n">
        <f aca="false">Algae_electricity_factor/V151</f>
        <v>0.00118298595051855</v>
      </c>
      <c r="AS151" s="220" t="n">
        <f aca="false">Algae_electricity_factor/W151</f>
        <v>0.00114322012434745</v>
      </c>
      <c r="AT151" s="220" t="n">
        <f aca="false">Algae_electricity_factor/X151</f>
        <v>0.00111746704272658</v>
      </c>
      <c r="AU151" s="220" t="n">
        <f aca="false">Algae_electricity_factor/Y151</f>
        <v>0.00110119510436068</v>
      </c>
      <c r="AV151" s="220" t="n">
        <f aca="false">Algae_electricity_factor/Z151</f>
        <v>0.00109107343279346</v>
      </c>
      <c r="AW151" s="220" t="n">
        <f aca="false">Algae_electricity_factor/AA151</f>
        <v>0.00108483860211541</v>
      </c>
      <c r="AX151" s="220" t="n">
        <f aca="false">Algae_electricity_factor/AB151</f>
        <v>0.00108102109304497</v>
      </c>
      <c r="AY151" s="220" t="n">
        <f aca="false">Algae_electricity_factor/AC151</f>
        <v>0.00107869229805111</v>
      </c>
      <c r="AZ151" s="221" t="n">
        <f aca="false">Algae_yield_cost_factor/H151</f>
        <v>0.119032681978732</v>
      </c>
      <c r="BA151" s="197" t="n">
        <f aca="false">Algae_yield_cost_factor/I151</f>
        <v>0.119032681978732</v>
      </c>
      <c r="BB151" s="197" t="n">
        <f aca="false">Algae_yield_cost_factor/J151</f>
        <v>0.119032681978732</v>
      </c>
      <c r="BC151" s="197" t="n">
        <f aca="false">Algae_yield_cost_factor/K151</f>
        <v>0.119032681978732</v>
      </c>
      <c r="BD151" s="197" t="n">
        <f aca="false">Algae_yield_cost_factor/L151</f>
        <v>0.119032681978732</v>
      </c>
      <c r="BE151" s="197" t="n">
        <f aca="false">Algae_yield_cost_factor/M151</f>
        <v>0.113643060599242</v>
      </c>
      <c r="BF151" s="197" t="n">
        <f aca="false">Algae_yield_cost_factor/N151</f>
        <v>0.110639751771355</v>
      </c>
      <c r="BG151" s="197" t="n">
        <f aca="false">Algae_yield_cost_factor/O151</f>
        <v>0.106354870628527</v>
      </c>
      <c r="BH151" s="197" t="n">
        <f aca="false">Algae_yield_cost_factor/P151</f>
        <v>0.100668227792946</v>
      </c>
      <c r="BI151" s="197" t="n">
        <f aca="false">Algae_yield_cost_factor/Q151</f>
        <v>0.0938047099528204</v>
      </c>
      <c r="BJ151" s="197" t="n">
        <f aca="false">Algae_yield_cost_factor/R151</f>
        <v>0.0864095592056703</v>
      </c>
      <c r="BK151" s="197" t="n">
        <f aca="false">Algae_yield_cost_factor/S151</f>
        <v>0.0793551213191547</v>
      </c>
      <c r="BL151" s="197" t="n">
        <f aca="false">Algae_yield_cost_factor/T151</f>
        <v>0.0733655874693372</v>
      </c>
      <c r="BM151" s="197" t="n">
        <f aca="false">Algae_yield_cost_factor/U151</f>
        <v>0.0687629427728188</v>
      </c>
      <c r="BN151" s="197" t="n">
        <f aca="false">Algae_yield_cost_factor/V151</f>
        <v>0.0654898511933386</v>
      </c>
      <c r="BO151" s="197" t="n">
        <f aca="false">Algae_yield_cost_factor/W151</f>
        <v>0.0632884234947391</v>
      </c>
      <c r="BP151" s="197" t="n">
        <f aca="false">Algae_yield_cost_factor/X151</f>
        <v>0.0618627383609625</v>
      </c>
      <c r="BQ151" s="197" t="n">
        <f aca="false">Algae_yield_cost_factor/Y151</f>
        <v>0.0609619273059009</v>
      </c>
      <c r="BR151" s="197" t="n">
        <f aca="false">Algae_yield_cost_factor/Z151</f>
        <v>0.0604015937157387</v>
      </c>
      <c r="BS151" s="197" t="n">
        <f aca="false">Algae_yield_cost_factor/AA151</f>
        <v>0.0600564348124215</v>
      </c>
      <c r="BT151" s="197" t="n">
        <f aca="false">Algae_yield_cost_factor/AB151</f>
        <v>0.05984509832035</v>
      </c>
      <c r="BU151" s="197" t="n">
        <f aca="false">Algae_yield_cost_factor/AC151</f>
        <v>0.0597161767236559</v>
      </c>
    </row>
    <row r="152" customFormat="false" ht="15" hidden="false" customHeight="false" outlineLevel="0" collapsed="false">
      <c r="A152" s="18" t="s">
        <v>714</v>
      </c>
      <c r="B152" s="18" t="s">
        <v>22</v>
      </c>
      <c r="C152" s="18" t="s">
        <v>692</v>
      </c>
      <c r="D152" s="18" t="s">
        <v>692</v>
      </c>
      <c r="E152" s="28" t="n">
        <v>6.1986125</v>
      </c>
      <c r="F152" s="185" t="n">
        <f aca="false">E152/$B$2*$F$3/1000</f>
        <v>0.015186600625</v>
      </c>
      <c r="G152" s="18" t="n">
        <f aca="false">LOOKUP(RIGHT(D152,5),Ref!$C$4:$C$21,Ref!$E$4:$E$21)*$G$3</f>
        <v>2.5</v>
      </c>
      <c r="H152" s="218" t="n">
        <f aca="false">$E152</f>
        <v>6.1986125</v>
      </c>
      <c r="I152" s="177" t="n">
        <f aca="false">$E152</f>
        <v>6.1986125</v>
      </c>
      <c r="J152" s="177" t="n">
        <f aca="false">$E152</f>
        <v>6.1986125</v>
      </c>
      <c r="K152" s="177" t="n">
        <f aca="false">$E152</f>
        <v>6.1986125</v>
      </c>
      <c r="L152" s="177" t="n">
        <f aca="false">$E152</f>
        <v>6.1986125</v>
      </c>
      <c r="M152" s="177" t="n">
        <f aca="false">M$3*$E152</f>
        <v>6.49258711030188</v>
      </c>
      <c r="N152" s="177" t="n">
        <f aca="false">N$3*$E152</f>
        <v>6.66882796290693</v>
      </c>
      <c r="O152" s="177" t="n">
        <f aca="false">O$3*$E152</f>
        <v>6.93750522248282</v>
      </c>
      <c r="P152" s="177" t="n">
        <f aca="false">P$3*$E152</f>
        <v>7.32939763218513</v>
      </c>
      <c r="Q152" s="177" t="n">
        <f aca="false">Q$3*$E152</f>
        <v>7.86567615627182</v>
      </c>
      <c r="R152" s="177" t="n">
        <f aca="false">R$3*$E152</f>
        <v>8.53884080887055</v>
      </c>
      <c r="S152" s="177" t="n">
        <f aca="false">S$3*$E152</f>
        <v>9.29791875</v>
      </c>
      <c r="T152" s="177" t="n">
        <f aca="false">T$3*$E152</f>
        <v>10.0569966911295</v>
      </c>
      <c r="U152" s="177" t="n">
        <f aca="false">U$3*$E152</f>
        <v>10.7301613437282</v>
      </c>
      <c r="V152" s="177" t="n">
        <f aca="false">V$3*$E152</f>
        <v>11.2664398678149</v>
      </c>
      <c r="W152" s="177" t="n">
        <f aca="false">W$3*$E152</f>
        <v>11.6583322775172</v>
      </c>
      <c r="X152" s="177" t="n">
        <f aca="false">X$3*$E152</f>
        <v>11.9270095370931</v>
      </c>
      <c r="Y152" s="177" t="n">
        <f aca="false">Y$3*$E152</f>
        <v>12.1032503896981</v>
      </c>
      <c r="Z152" s="177" t="n">
        <f aca="false">Z$3*$E152</f>
        <v>12.2155298400618</v>
      </c>
      <c r="AA152" s="177" t="n">
        <f aca="false">AA$3*$E152</f>
        <v>12.2857354541014</v>
      </c>
      <c r="AB152" s="177" t="n">
        <f aca="false">AB$3*$E152</f>
        <v>12.3291212000732</v>
      </c>
      <c r="AC152" s="177" t="n">
        <f aca="false">AC$3*$E152</f>
        <v>12.3557386106001</v>
      </c>
      <c r="AD152" s="219" t="n">
        <f aca="false">Algae_electricity_factor/H152</f>
        <v>0.0022172053993582</v>
      </c>
      <c r="AE152" s="220" t="n">
        <f aca="false">Algae_electricity_factor/I152</f>
        <v>0.0022172053993582</v>
      </c>
      <c r="AF152" s="220" t="n">
        <f aca="false">Algae_electricity_factor/J152</f>
        <v>0.0022172053993582</v>
      </c>
      <c r="AG152" s="220" t="n">
        <f aca="false">Algae_electricity_factor/K152</f>
        <v>0.0022172053993582</v>
      </c>
      <c r="AH152" s="220" t="n">
        <f aca="false">Algae_electricity_factor/L152</f>
        <v>0.0022172053993582</v>
      </c>
      <c r="AI152" s="220" t="n">
        <f aca="false">Algae_electricity_factor/M152</f>
        <v>0.00211681366303459</v>
      </c>
      <c r="AJ152" s="220" t="n">
        <f aca="false">Algae_electricity_factor/N152</f>
        <v>0.00206087144247435</v>
      </c>
      <c r="AK152" s="220" t="n">
        <f aca="false">Algae_electricity_factor/O152</f>
        <v>0.00198105755062922</v>
      </c>
      <c r="AL152" s="220" t="n">
        <f aca="false">Algae_electricity_factor/P152</f>
        <v>0.00187513323648561</v>
      </c>
      <c r="AM152" s="220" t="n">
        <f aca="false">Algae_electricity_factor/Q152</f>
        <v>0.00174728743346121</v>
      </c>
      <c r="AN152" s="220" t="n">
        <f aca="false">Algae_electricity_factor/R152</f>
        <v>0.00160953897738107</v>
      </c>
      <c r="AO152" s="220" t="n">
        <f aca="false">Algae_electricity_factor/S152</f>
        <v>0.00147813693290547</v>
      </c>
      <c r="AP152" s="220" t="n">
        <f aca="false">Algae_electricity_factor/T152</f>
        <v>0.00136657070948939</v>
      </c>
      <c r="AQ152" s="220" t="n">
        <f aca="false">Algae_electricity_factor/U152</f>
        <v>0.00128083787962447</v>
      </c>
      <c r="AR152" s="220" t="n">
        <f aca="false">Algae_electricity_factor/V152</f>
        <v>0.00121987045284739</v>
      </c>
      <c r="AS152" s="220" t="n">
        <f aca="false">Algae_electricity_factor/W152</f>
        <v>0.0011788647618179</v>
      </c>
      <c r="AT152" s="220" t="n">
        <f aca="false">Algae_electricity_factor/X152</f>
        <v>0.00115230872087312</v>
      </c>
      <c r="AU152" s="220" t="n">
        <f aca="false">Algae_electricity_factor/Y152</f>
        <v>0.00113552943721856</v>
      </c>
      <c r="AV152" s="220" t="n">
        <f aca="false">Algae_electricity_factor/Z152</f>
        <v>0.00112509218048456</v>
      </c>
      <c r="AW152" s="220" t="n">
        <f aca="false">Algae_electricity_factor/AA152</f>
        <v>0.00111866295305433</v>
      </c>
      <c r="AX152" s="220" t="n">
        <f aca="false">Algae_electricity_factor/AB152</f>
        <v>0.00111472641727682</v>
      </c>
      <c r="AY152" s="220" t="n">
        <f aca="false">Algae_electricity_factor/AC152</f>
        <v>0.00111232501242285</v>
      </c>
      <c r="AZ152" s="221" t="n">
        <f aca="false">Algae_yield_cost_factor/H152</f>
        <v>0.122744020421702</v>
      </c>
      <c r="BA152" s="197" t="n">
        <f aca="false">Algae_yield_cost_factor/I152</f>
        <v>0.122744020421702</v>
      </c>
      <c r="BB152" s="197" t="n">
        <f aca="false">Algae_yield_cost_factor/J152</f>
        <v>0.122744020421702</v>
      </c>
      <c r="BC152" s="197" t="n">
        <f aca="false">Algae_yield_cost_factor/K152</f>
        <v>0.122744020421702</v>
      </c>
      <c r="BD152" s="197" t="n">
        <f aca="false">Algae_yield_cost_factor/L152</f>
        <v>0.122744020421702</v>
      </c>
      <c r="BE152" s="197" t="n">
        <f aca="false">Algae_yield_cost_factor/M152</f>
        <v>0.117186355201762</v>
      </c>
      <c r="BF152" s="197" t="n">
        <f aca="false">Algae_yield_cost_factor/N152</f>
        <v>0.11408940574238</v>
      </c>
      <c r="BG152" s="197" t="n">
        <f aca="false">Algae_yield_cost_factor/O152</f>
        <v>0.10967092562619</v>
      </c>
      <c r="BH152" s="197" t="n">
        <f aca="false">Algae_yield_cost_factor/P152</f>
        <v>0.103806978072137</v>
      </c>
      <c r="BI152" s="197" t="n">
        <f aca="false">Algae_yield_cost_factor/Q152</f>
        <v>0.0967294615453432</v>
      </c>
      <c r="BJ152" s="197" t="n">
        <f aca="false">Algae_yield_cost_factor/R152</f>
        <v>0.0891037362467068</v>
      </c>
      <c r="BK152" s="197" t="n">
        <f aca="false">Algae_yield_cost_factor/S152</f>
        <v>0.0818293469478014</v>
      </c>
      <c r="BL152" s="197" t="n">
        <f aca="false">Algae_yield_cost_factor/T152</f>
        <v>0.0756530644936278</v>
      </c>
      <c r="BM152" s="197" t="n">
        <f aca="false">Algae_yield_cost_factor/U152</f>
        <v>0.0709069132246491</v>
      </c>
      <c r="BN152" s="197" t="n">
        <f aca="false">Algae_yield_cost_factor/V152</f>
        <v>0.0675317694154421</v>
      </c>
      <c r="BO152" s="197" t="n">
        <f aca="false">Algae_yield_cost_factor/W152</f>
        <v>0.0652617030613791</v>
      </c>
      <c r="BP152" s="197" t="n">
        <f aca="false">Algae_yield_cost_factor/X152</f>
        <v>0.0637915662698175</v>
      </c>
      <c r="BQ152" s="197" t="n">
        <f aca="false">Algae_yield_cost_factor/Y152</f>
        <v>0.0628626686872331</v>
      </c>
      <c r="BR152" s="197" t="n">
        <f aca="false">Algae_yield_cost_factor/Z152</f>
        <v>0.0622848643692046</v>
      </c>
      <c r="BS152" s="197" t="n">
        <f aca="false">Algae_yield_cost_factor/AA152</f>
        <v>0.0619289437029368</v>
      </c>
      <c r="BT152" s="197" t="n">
        <f aca="false">Algae_yield_cost_factor/AB152</f>
        <v>0.0617110179176192</v>
      </c>
      <c r="BU152" s="197" t="n">
        <f aca="false">Algae_yield_cost_factor/AC152</f>
        <v>0.0615780766544773</v>
      </c>
    </row>
    <row r="153" customFormat="false" ht="15" hidden="false" customHeight="false" outlineLevel="0" collapsed="false">
      <c r="A153" s="18" t="s">
        <v>714</v>
      </c>
      <c r="B153" s="18" t="s">
        <v>22</v>
      </c>
      <c r="C153" s="18" t="s">
        <v>693</v>
      </c>
      <c r="D153" s="18" t="s">
        <v>693</v>
      </c>
      <c r="E153" s="28" t="n">
        <v>6.085426</v>
      </c>
      <c r="F153" s="185" t="n">
        <f aca="false">E153/$B$2*$F$3/1000</f>
        <v>0.0149092937</v>
      </c>
      <c r="G153" s="18" t="n">
        <f aca="false">LOOKUP(RIGHT(D153,5),Ref!$C$4:$C$21,Ref!$E$4:$E$21)*$G$3</f>
        <v>3</v>
      </c>
      <c r="H153" s="218" t="n">
        <f aca="false">$E153</f>
        <v>6.085426</v>
      </c>
      <c r="I153" s="177" t="n">
        <f aca="false">$E153</f>
        <v>6.085426</v>
      </c>
      <c r="J153" s="177" t="n">
        <f aca="false">$E153</f>
        <v>6.085426</v>
      </c>
      <c r="K153" s="177" t="n">
        <f aca="false">$E153</f>
        <v>6.085426</v>
      </c>
      <c r="L153" s="177" t="n">
        <f aca="false">$E153</f>
        <v>6.085426</v>
      </c>
      <c r="M153" s="177" t="n">
        <f aca="false">M$3*$E153</f>
        <v>6.37403264170747</v>
      </c>
      <c r="N153" s="177" t="n">
        <f aca="false">N$3*$E153</f>
        <v>6.54705534101396</v>
      </c>
      <c r="O153" s="177" t="n">
        <f aca="false">O$3*$E153</f>
        <v>6.81082656094937</v>
      </c>
      <c r="P153" s="177" t="n">
        <f aca="false">P$3*$E153</f>
        <v>7.19556302563482</v>
      </c>
      <c r="Q153" s="177" t="n">
        <f aca="false">Q$3*$E153</f>
        <v>7.72204911808193</v>
      </c>
      <c r="R153" s="177" t="n">
        <f aca="false">R$3*$E153</f>
        <v>8.38292180196162</v>
      </c>
      <c r="S153" s="177" t="n">
        <f aca="false">S$3*$E153</f>
        <v>9.128139</v>
      </c>
      <c r="T153" s="177" t="n">
        <f aca="false">T$3*$E153</f>
        <v>9.87335619803838</v>
      </c>
      <c r="U153" s="177" t="n">
        <f aca="false">U$3*$E153</f>
        <v>10.5342288819181</v>
      </c>
      <c r="V153" s="177" t="n">
        <f aca="false">V$3*$E153</f>
        <v>11.0607149743652</v>
      </c>
      <c r="W153" s="177" t="n">
        <f aca="false">W$3*$E153</f>
        <v>11.4454514390506</v>
      </c>
      <c r="X153" s="177" t="n">
        <f aca="false">X$3*$E153</f>
        <v>11.709222658986</v>
      </c>
      <c r="Y153" s="177" t="n">
        <f aca="false">Y$3*$E153</f>
        <v>11.8822453582925</v>
      </c>
      <c r="Z153" s="177" t="n">
        <f aca="false">Z$3*$E153</f>
        <v>11.9924745888677</v>
      </c>
      <c r="AA153" s="177" t="n">
        <f aca="false">AA$3*$E153</f>
        <v>12.0613982502552</v>
      </c>
      <c r="AB153" s="177" t="n">
        <f aca="false">AB$3*$E153</f>
        <v>12.1039917736553</v>
      </c>
      <c r="AC153" s="177" t="n">
        <f aca="false">AC$3*$E153</f>
        <v>12.1301231509712</v>
      </c>
      <c r="AD153" s="219" t="n">
        <f aca="false">Algae_electricity_factor/H153</f>
        <v>0.0022584445367554</v>
      </c>
      <c r="AE153" s="220" t="n">
        <f aca="false">Algae_electricity_factor/I153</f>
        <v>0.0022584445367554</v>
      </c>
      <c r="AF153" s="220" t="n">
        <f aca="false">Algae_electricity_factor/J153</f>
        <v>0.0022584445367554</v>
      </c>
      <c r="AG153" s="220" t="n">
        <f aca="false">Algae_electricity_factor/K153</f>
        <v>0.0022584445367554</v>
      </c>
      <c r="AH153" s="220" t="n">
        <f aca="false">Algae_electricity_factor/L153</f>
        <v>0.0022584445367554</v>
      </c>
      <c r="AI153" s="220" t="n">
        <f aca="false">Algae_electricity_factor/M153</f>
        <v>0.00215618555411847</v>
      </c>
      <c r="AJ153" s="220" t="n">
        <f aca="false">Algae_electricity_factor/N153</f>
        <v>0.00209920283053553</v>
      </c>
      <c r="AK153" s="220" t="n">
        <f aca="false">Algae_electricity_factor/O153</f>
        <v>0.00201790443208901</v>
      </c>
      <c r="AL153" s="220" t="n">
        <f aca="false">Algae_electricity_factor/P153</f>
        <v>0.00191000996788806</v>
      </c>
      <c r="AM153" s="220" t="n">
        <f aca="false">Algae_electricity_factor/Q153</f>
        <v>0.00177978628384366</v>
      </c>
      <c r="AN153" s="220" t="n">
        <f aca="false">Algae_electricity_factor/R153</f>
        <v>0.00163947576134054</v>
      </c>
      <c r="AO153" s="220" t="n">
        <f aca="false">Algae_electricity_factor/S153</f>
        <v>0.00150562969117027</v>
      </c>
      <c r="AP153" s="220" t="n">
        <f aca="false">Algae_electricity_factor/T153</f>
        <v>0.00139198838043135</v>
      </c>
      <c r="AQ153" s="220" t="n">
        <f aca="false">Algae_electricity_factor/U153</f>
        <v>0.00130466095407515</v>
      </c>
      <c r="AR153" s="220" t="n">
        <f aca="false">Algae_electricity_factor/V153</f>
        <v>0.00124255955744109</v>
      </c>
      <c r="AS153" s="220" t="n">
        <f aca="false">Algae_electricity_factor/W153</f>
        <v>0.0012007911768895</v>
      </c>
      <c r="AT153" s="220" t="n">
        <f aca="false">Algae_electricity_factor/X153</f>
        <v>0.00117374120415944</v>
      </c>
      <c r="AU153" s="220" t="n">
        <f aca="false">Algae_electricity_factor/Y153</f>
        <v>0.00115664983251147</v>
      </c>
      <c r="AV153" s="220" t="n">
        <f aca="false">Algae_electricity_factor/Z153</f>
        <v>0.00114601844695899</v>
      </c>
      <c r="AW153" s="220" t="n">
        <f aca="false">Algae_electricity_factor/AA153</f>
        <v>0.00113946963845908</v>
      </c>
      <c r="AX153" s="220" t="n">
        <f aca="false">Algae_electricity_factor/AB153</f>
        <v>0.00113545988468388</v>
      </c>
      <c r="AY153" s="220" t="n">
        <f aca="false">Algae_electricity_factor/AC153</f>
        <v>0.00113301381465602</v>
      </c>
      <c r="AZ153" s="221" t="n">
        <f aca="false">Algae_yield_cost_factor/H153</f>
        <v>0.125027010317144</v>
      </c>
      <c r="BA153" s="197" t="n">
        <f aca="false">Algae_yield_cost_factor/I153</f>
        <v>0.125027010317144</v>
      </c>
      <c r="BB153" s="197" t="n">
        <f aca="false">Algae_yield_cost_factor/J153</f>
        <v>0.125027010317144</v>
      </c>
      <c r="BC153" s="197" t="n">
        <f aca="false">Algae_yield_cost_factor/K153</f>
        <v>0.125027010317144</v>
      </c>
      <c r="BD153" s="197" t="n">
        <f aca="false">Algae_yield_cost_factor/L153</f>
        <v>0.125027010317144</v>
      </c>
      <c r="BE153" s="197" t="n">
        <f aca="false">Algae_yield_cost_factor/M153</f>
        <v>0.119365974737526</v>
      </c>
      <c r="BF153" s="197" t="n">
        <f aca="false">Algae_yield_cost_factor/N153</f>
        <v>0.116211423251599</v>
      </c>
      <c r="BG153" s="197" t="n">
        <f aca="false">Algae_yield_cost_factor/O153</f>
        <v>0.111710761164965</v>
      </c>
      <c r="BH153" s="197" t="n">
        <f aca="false">Algae_yield_cost_factor/P153</f>
        <v>0.105737746521801</v>
      </c>
      <c r="BI153" s="197" t="n">
        <f aca="false">Algae_yield_cost_factor/Q153</f>
        <v>0.0985285910063213</v>
      </c>
      <c r="BJ153" s="197" t="n">
        <f aca="false">Algae_yield_cost_factor/R153</f>
        <v>0.0907610302541745</v>
      </c>
      <c r="BK153" s="197" t="n">
        <f aca="false">Algae_yield_cost_factor/S153</f>
        <v>0.0833513402114295</v>
      </c>
      <c r="BL153" s="197" t="n">
        <f aca="false">Algae_yield_cost_factor/T153</f>
        <v>0.077060181363393</v>
      </c>
      <c r="BM153" s="197" t="n">
        <f aca="false">Algae_yield_cost_factor/U153</f>
        <v>0.0722257535710277</v>
      </c>
      <c r="BN153" s="197" t="n">
        <f aca="false">Algae_yield_cost_factor/V153</f>
        <v>0.0687878334311644</v>
      </c>
      <c r="BO153" s="197" t="n">
        <f aca="false">Algae_yield_cost_factor/W153</f>
        <v>0.0664755447469993</v>
      </c>
      <c r="BP153" s="197" t="n">
        <f aca="false">Algae_yield_cost_factor/X153</f>
        <v>0.0649780639966157</v>
      </c>
      <c r="BQ153" s="197" t="n">
        <f aca="false">Algae_yield_cost_factor/Y153</f>
        <v>0.0640318892889408</v>
      </c>
      <c r="BR153" s="197" t="n">
        <f aca="false">Algae_yield_cost_factor/Z153</f>
        <v>0.063443338040715</v>
      </c>
      <c r="BS153" s="197" t="n">
        <f aca="false">Algae_yield_cost_factor/AA153</f>
        <v>0.0630807973918047</v>
      </c>
      <c r="BT153" s="197" t="n">
        <f aca="false">Algae_yield_cost_factor/AB153</f>
        <v>0.062858818273672</v>
      </c>
      <c r="BU153" s="197" t="n">
        <f aca="false">Algae_yield_cost_factor/AC153</f>
        <v>0.0627234043559812</v>
      </c>
    </row>
    <row r="154" customFormat="false" ht="15" hidden="false" customHeight="false" outlineLevel="0" collapsed="false">
      <c r="A154" s="18" t="s">
        <v>714</v>
      </c>
      <c r="B154" s="18" t="s">
        <v>22</v>
      </c>
      <c r="C154" s="18" t="s">
        <v>694</v>
      </c>
      <c r="D154" s="18" t="s">
        <v>694</v>
      </c>
      <c r="E154" s="28" t="n">
        <v>6.276175</v>
      </c>
      <c r="F154" s="185" t="n">
        <f aca="false">E154/$B$2*$F$3/1000</f>
        <v>0.01537662875</v>
      </c>
      <c r="G154" s="18" t="n">
        <f aca="false">LOOKUP(RIGHT(D154,5),Ref!$C$4:$C$21,Ref!$E$4:$E$21)*$G$3</f>
        <v>3</v>
      </c>
      <c r="H154" s="218" t="n">
        <f aca="false">$E154</f>
        <v>6.276175</v>
      </c>
      <c r="I154" s="177" t="n">
        <f aca="false">$E154</f>
        <v>6.276175</v>
      </c>
      <c r="J154" s="177" t="n">
        <f aca="false">$E154</f>
        <v>6.276175</v>
      </c>
      <c r="K154" s="177" t="n">
        <f aca="false">$E154</f>
        <v>6.276175</v>
      </c>
      <c r="L154" s="177" t="n">
        <f aca="false">$E154</f>
        <v>6.276175</v>
      </c>
      <c r="M154" s="177" t="n">
        <f aca="false">M$3*$E154</f>
        <v>6.57382807959022</v>
      </c>
      <c r="N154" s="177" t="n">
        <f aca="false">N$3*$E154</f>
        <v>6.75227421299483</v>
      </c>
      <c r="O154" s="177" t="n">
        <f aca="false">O$3*$E154</f>
        <v>7.02431339912216</v>
      </c>
      <c r="P154" s="177" t="n">
        <f aca="false">P$3*$E154</f>
        <v>7.42110951187536</v>
      </c>
      <c r="Q154" s="177" t="n">
        <f aca="false">Q$3*$E154</f>
        <v>7.96409842526683</v>
      </c>
      <c r="R154" s="177" t="n">
        <f aca="false">R$3*$E154</f>
        <v>8.6456863069942</v>
      </c>
      <c r="S154" s="177" t="n">
        <f aca="false">S$3*$E154</f>
        <v>9.4142625</v>
      </c>
      <c r="T154" s="177" t="n">
        <f aca="false">T$3*$E154</f>
        <v>10.1828386930058</v>
      </c>
      <c r="U154" s="177" t="n">
        <f aca="false">U$3*$E154</f>
        <v>10.8644265747332</v>
      </c>
      <c r="V154" s="177" t="n">
        <f aca="false">V$3*$E154</f>
        <v>11.4074154881246</v>
      </c>
      <c r="W154" s="177" t="n">
        <f aca="false">W$3*$E154</f>
        <v>11.8042116008778</v>
      </c>
      <c r="X154" s="177" t="n">
        <f aca="false">X$3*$E154</f>
        <v>12.0762507870052</v>
      </c>
      <c r="Y154" s="177" t="n">
        <f aca="false">Y$3*$E154</f>
        <v>12.2546969204098</v>
      </c>
      <c r="Z154" s="177" t="n">
        <f aca="false">Z$3*$E154</f>
        <v>12.3683813101641</v>
      </c>
      <c r="AA154" s="177" t="n">
        <f aca="false">AA$3*$E154</f>
        <v>12.4394653986912</v>
      </c>
      <c r="AB154" s="177" t="n">
        <f aca="false">AB$3*$E154</f>
        <v>12.4833940253354</v>
      </c>
      <c r="AC154" s="177" t="n">
        <f aca="false">AC$3*$E154</f>
        <v>12.5103444963503</v>
      </c>
      <c r="AD154" s="219" t="n">
        <f aca="false">Algae_electricity_factor/H154</f>
        <v>0.00218980463475433</v>
      </c>
      <c r="AE154" s="220" t="n">
        <f aca="false">Algae_electricity_factor/I154</f>
        <v>0.00218980463475433</v>
      </c>
      <c r="AF154" s="220" t="n">
        <f aca="false">Algae_electricity_factor/J154</f>
        <v>0.00218980463475433</v>
      </c>
      <c r="AG154" s="220" t="n">
        <f aca="false">Algae_electricity_factor/K154</f>
        <v>0.00218980463475433</v>
      </c>
      <c r="AH154" s="220" t="n">
        <f aca="false">Algae_electricity_factor/L154</f>
        <v>0.00218980463475433</v>
      </c>
      <c r="AI154" s="220" t="n">
        <f aca="false">Algae_electricity_factor/M154</f>
        <v>0.0020906535639712</v>
      </c>
      <c r="AJ154" s="220" t="n">
        <f aca="false">Algae_electricity_factor/N154</f>
        <v>0.0020354026910044</v>
      </c>
      <c r="AK154" s="220" t="n">
        <f aca="false">Algae_electricity_factor/O154</f>
        <v>0.00195657515868338</v>
      </c>
      <c r="AL154" s="220" t="n">
        <f aca="false">Algae_electricity_factor/P154</f>
        <v>0.00185195988302512</v>
      </c>
      <c r="AM154" s="220" t="n">
        <f aca="false">Algae_electricity_factor/Q154</f>
        <v>0.00172569402958738</v>
      </c>
      <c r="AN154" s="220" t="n">
        <f aca="false">Algae_electricity_factor/R154</f>
        <v>0.0015896479024934</v>
      </c>
      <c r="AO154" s="220" t="n">
        <f aca="false">Algae_electricity_factor/S154</f>
        <v>0.00145986975650289</v>
      </c>
      <c r="AP154" s="220" t="n">
        <f aca="false">Algae_electricity_factor/T154</f>
        <v>0.00134968229566174</v>
      </c>
      <c r="AQ154" s="220" t="n">
        <f aca="false">Algae_electricity_factor/U154</f>
        <v>0.00126500897299928</v>
      </c>
      <c r="AR154" s="220" t="n">
        <f aca="false">Algae_electricity_factor/V154</f>
        <v>0.00120479499653858</v>
      </c>
      <c r="AS154" s="220" t="n">
        <f aca="false">Algae_electricity_factor/W154</f>
        <v>0.00116429606383091</v>
      </c>
      <c r="AT154" s="220" t="n">
        <f aca="false">Algae_electricity_factor/X154</f>
        <v>0.00113806820891118</v>
      </c>
      <c r="AU154" s="220" t="n">
        <f aca="false">Algae_electricity_factor/Y154</f>
        <v>0.00112149628773273</v>
      </c>
      <c r="AV154" s="220" t="n">
        <f aca="false">Algae_electricity_factor/Z154</f>
        <v>0.00111118801716074</v>
      </c>
      <c r="AW154" s="220" t="n">
        <f aca="false">Algae_electricity_factor/AA154</f>
        <v>0.00110483824368974</v>
      </c>
      <c r="AX154" s="220" t="n">
        <f aca="false">Algae_electricity_factor/AB154</f>
        <v>0.00110095035658061</v>
      </c>
      <c r="AY154" s="220" t="n">
        <f aca="false">Algae_electricity_factor/AC154</f>
        <v>0.00109857862887299</v>
      </c>
      <c r="AZ154" s="221" t="n">
        <f aca="false">Algae_yield_cost_factor/H154</f>
        <v>0.121227119907622</v>
      </c>
      <c r="BA154" s="197" t="n">
        <f aca="false">Algae_yield_cost_factor/I154</f>
        <v>0.121227119907622</v>
      </c>
      <c r="BB154" s="197" t="n">
        <f aca="false">Algae_yield_cost_factor/J154</f>
        <v>0.121227119907622</v>
      </c>
      <c r="BC154" s="197" t="n">
        <f aca="false">Algae_yield_cost_factor/K154</f>
        <v>0.121227119907622</v>
      </c>
      <c r="BD154" s="197" t="n">
        <f aca="false">Algae_yield_cost_factor/L154</f>
        <v>0.121227119907622</v>
      </c>
      <c r="BE154" s="197" t="n">
        <f aca="false">Algae_yield_cost_factor/M154</f>
        <v>0.115738137668736</v>
      </c>
      <c r="BF154" s="197" t="n">
        <f aca="false">Algae_yield_cost_factor/N154</f>
        <v>0.112679461065424</v>
      </c>
      <c r="BG154" s="197" t="n">
        <f aca="false">Algae_yield_cost_factor/O154</f>
        <v>0.108315585603185</v>
      </c>
      <c r="BH154" s="197" t="n">
        <f aca="false">Algae_yield_cost_factor/P154</f>
        <v>0.102524106141906</v>
      </c>
      <c r="BI154" s="197" t="n">
        <f aca="false">Algae_yield_cost_factor/Q154</f>
        <v>0.0955340552889672</v>
      </c>
      <c r="BJ154" s="197" t="n">
        <f aca="false">Algae_yield_cost_factor/R154</f>
        <v>0.0880025705617737</v>
      </c>
      <c r="BK154" s="197" t="n">
        <f aca="false">Algae_yield_cost_factor/S154</f>
        <v>0.0808180799384145</v>
      </c>
      <c r="BL154" s="197" t="n">
        <f aca="false">Algae_yield_cost_factor/T154</f>
        <v>0.0747181254878182</v>
      </c>
      <c r="BM154" s="197" t="n">
        <f aca="false">Algae_yield_cost_factor/U154</f>
        <v>0.0700306283127422</v>
      </c>
      <c r="BN154" s="197" t="n">
        <f aca="false">Algae_yield_cost_factor/V154</f>
        <v>0.0666971953531693</v>
      </c>
      <c r="BO154" s="197" t="n">
        <f aca="false">Algae_yield_cost_factor/W154</f>
        <v>0.0644551830322693</v>
      </c>
      <c r="BP154" s="197" t="n">
        <f aca="false">Algae_yield_cost_factor/X154</f>
        <v>0.0630032145494141</v>
      </c>
      <c r="BQ154" s="197" t="n">
        <f aca="false">Algae_yield_cost_factor/Y154</f>
        <v>0.0620857965095049</v>
      </c>
      <c r="BR154" s="197" t="n">
        <f aca="false">Algae_yield_cost_factor/Z154</f>
        <v>0.0615151328380353</v>
      </c>
      <c r="BS154" s="197" t="n">
        <f aca="false">Algae_yield_cost_factor/AA154</f>
        <v>0.0611636107260904</v>
      </c>
      <c r="BT154" s="197" t="n">
        <f aca="false">Algae_yield_cost_factor/AB154</f>
        <v>0.0609483781207309</v>
      </c>
      <c r="BU154" s="197" t="n">
        <f aca="false">Algae_yield_cost_factor/AC154</f>
        <v>0.0608170797781135</v>
      </c>
    </row>
    <row r="155" customFormat="false" ht="15" hidden="false" customHeight="false" outlineLevel="0" collapsed="false">
      <c r="A155" s="18" t="s">
        <v>714</v>
      </c>
      <c r="B155" s="18" t="s">
        <v>22</v>
      </c>
      <c r="C155" s="18" t="s">
        <v>682</v>
      </c>
      <c r="D155" s="18" t="s">
        <v>682</v>
      </c>
      <c r="E155" s="28" t="n">
        <v>6.291505</v>
      </c>
      <c r="F155" s="185" t="n">
        <f aca="false">E155/$B$2*$F$3/1000</f>
        <v>0.01541418725</v>
      </c>
      <c r="G155" s="18" t="n">
        <f aca="false">LOOKUP(RIGHT(D155,5),Ref!$C$4:$C$21,Ref!$E$4:$E$21)*$G$3</f>
        <v>3</v>
      </c>
      <c r="H155" s="218" t="n">
        <f aca="false">$E155</f>
        <v>6.291505</v>
      </c>
      <c r="I155" s="177" t="n">
        <f aca="false">$E155</f>
        <v>6.291505</v>
      </c>
      <c r="J155" s="177" t="n">
        <f aca="false">$E155</f>
        <v>6.291505</v>
      </c>
      <c r="K155" s="177" t="n">
        <f aca="false">$E155</f>
        <v>6.291505</v>
      </c>
      <c r="L155" s="177" t="n">
        <f aca="false">$E155</f>
        <v>6.291505</v>
      </c>
      <c r="M155" s="177" t="n">
        <f aca="false">M$3*$E155</f>
        <v>6.58988511822603</v>
      </c>
      <c r="N155" s="177" t="n">
        <f aca="false">N$3*$E155</f>
        <v>6.76876711889455</v>
      </c>
      <c r="O155" s="177" t="n">
        <f aca="false">O$3*$E155</f>
        <v>7.04147077991676</v>
      </c>
      <c r="P155" s="177" t="n">
        <f aca="false">P$3*$E155</f>
        <v>7.43923609515531</v>
      </c>
      <c r="Q155" s="177" t="n">
        <f aca="false">Q$3*$E155</f>
        <v>7.98355129725643</v>
      </c>
      <c r="R155" s="177" t="n">
        <f aca="false">R$3*$E155</f>
        <v>8.66680400544688</v>
      </c>
      <c r="S155" s="177" t="n">
        <f aca="false">S$3*$E155</f>
        <v>9.4372575</v>
      </c>
      <c r="T155" s="177" t="n">
        <f aca="false">T$3*$E155</f>
        <v>10.2077109945531</v>
      </c>
      <c r="U155" s="177" t="n">
        <f aca="false">U$3*$E155</f>
        <v>10.8909637027436</v>
      </c>
      <c r="V155" s="177" t="n">
        <f aca="false">V$3*$E155</f>
        <v>11.4352789048447</v>
      </c>
      <c r="W155" s="177" t="n">
        <f aca="false">W$3*$E155</f>
        <v>11.8330442200832</v>
      </c>
      <c r="X155" s="177" t="n">
        <f aca="false">X$3*$E155</f>
        <v>12.1057478811054</v>
      </c>
      <c r="Y155" s="177" t="n">
        <f aca="false">Y$3*$E155</f>
        <v>12.284629881774</v>
      </c>
      <c r="Z155" s="177" t="n">
        <f aca="false">Z$3*$E155</f>
        <v>12.3985919536667</v>
      </c>
      <c r="AA155" s="177" t="n">
        <f aca="false">AA$3*$E155</f>
        <v>12.4698496700925</v>
      </c>
      <c r="AB155" s="177" t="n">
        <f aca="false">AB$3*$E155</f>
        <v>12.5138855955049</v>
      </c>
      <c r="AC155" s="177" t="n">
        <f aca="false">AC$3*$E155</f>
        <v>12.5409018949456</v>
      </c>
      <c r="AD155" s="219" t="n">
        <f aca="false">Algae_electricity_factor/H155</f>
        <v>0.00218446891539135</v>
      </c>
      <c r="AE155" s="220" t="n">
        <f aca="false">Algae_electricity_factor/I155</f>
        <v>0.00218446891539135</v>
      </c>
      <c r="AF155" s="220" t="n">
        <f aca="false">Algae_electricity_factor/J155</f>
        <v>0.00218446891539135</v>
      </c>
      <c r="AG155" s="220" t="n">
        <f aca="false">Algae_electricity_factor/K155</f>
        <v>0.00218446891539135</v>
      </c>
      <c r="AH155" s="220" t="n">
        <f aca="false">Algae_electricity_factor/L155</f>
        <v>0.00218446891539135</v>
      </c>
      <c r="AI155" s="220" t="n">
        <f aca="false">Algae_electricity_factor/M155</f>
        <v>0.00208555943798137</v>
      </c>
      <c r="AJ155" s="220" t="n">
        <f aca="false">Algae_electricity_factor/N155</f>
        <v>0.00203044319033594</v>
      </c>
      <c r="AK155" s="220" t="n">
        <f aca="false">Algae_electricity_factor/O155</f>
        <v>0.00195180773067011</v>
      </c>
      <c r="AL155" s="220" t="n">
        <f aca="false">Algae_electricity_factor/P155</f>
        <v>0.00184744736256987</v>
      </c>
      <c r="AM155" s="220" t="n">
        <f aca="false">Algae_electricity_factor/Q155</f>
        <v>0.0017214891708972</v>
      </c>
      <c r="AN155" s="220" t="n">
        <f aca="false">Algae_electricity_factor/R155</f>
        <v>0.00158577453636793</v>
      </c>
      <c r="AO155" s="220" t="n">
        <f aca="false">Algae_electricity_factor/S155</f>
        <v>0.0014563126102609</v>
      </c>
      <c r="AP155" s="220" t="n">
        <f aca="false">Algae_electricity_factor/T155</f>
        <v>0.00134639363426951</v>
      </c>
      <c r="AQ155" s="220" t="n">
        <f aca="false">Algae_electricity_factor/U155</f>
        <v>0.00126192662822548</v>
      </c>
      <c r="AR155" s="220" t="n">
        <f aca="false">Algae_electricity_factor/V155</f>
        <v>0.00120185937027794</v>
      </c>
      <c r="AS155" s="220" t="n">
        <f aca="false">Algae_electricity_factor/W155</f>
        <v>0.00116145911803519</v>
      </c>
      <c r="AT155" s="220" t="n">
        <f aca="false">Algae_electricity_factor/X155</f>
        <v>0.0011352951704025</v>
      </c>
      <c r="AU155" s="220" t="n">
        <f aca="false">Algae_electricity_factor/Y155</f>
        <v>0.00111876362868041</v>
      </c>
      <c r="AV155" s="220" t="n">
        <f aca="false">Algae_electricity_factor/Z155</f>
        <v>0.00110848047543534</v>
      </c>
      <c r="AW155" s="220" t="n">
        <f aca="false">Algae_electricity_factor/AA155</f>
        <v>0.0011021461739424</v>
      </c>
      <c r="AX155" s="220" t="n">
        <f aca="false">Algae_electricity_factor/AB155</f>
        <v>0.00109826776013248</v>
      </c>
      <c r="AY155" s="220" t="n">
        <f aca="false">Algae_electricity_factor/AC155</f>
        <v>0.00109590181142142</v>
      </c>
      <c r="AZ155" s="221" t="n">
        <f aca="false">Algae_yield_cost_factor/H155</f>
        <v>0.120931735615917</v>
      </c>
      <c r="BA155" s="197" t="n">
        <f aca="false">Algae_yield_cost_factor/I155</f>
        <v>0.120931735615917</v>
      </c>
      <c r="BB155" s="197" t="n">
        <f aca="false">Algae_yield_cost_factor/J155</f>
        <v>0.120931735615917</v>
      </c>
      <c r="BC155" s="197" t="n">
        <f aca="false">Algae_yield_cost_factor/K155</f>
        <v>0.120931735615917</v>
      </c>
      <c r="BD155" s="197" t="n">
        <f aca="false">Algae_yield_cost_factor/L155</f>
        <v>0.120931735615917</v>
      </c>
      <c r="BE155" s="197" t="n">
        <f aca="false">Algae_yield_cost_factor/M155</f>
        <v>0.115456127934903</v>
      </c>
      <c r="BF155" s="197" t="n">
        <f aca="false">Algae_yield_cost_factor/N155</f>
        <v>0.112404904160815</v>
      </c>
      <c r="BG155" s="197" t="n">
        <f aca="false">Algae_yield_cost_factor/O155</f>
        <v>0.10805166180001</v>
      </c>
      <c r="BH155" s="197" t="n">
        <f aca="false">Algae_yield_cost_factor/P155</f>
        <v>0.102274293967052</v>
      </c>
      <c r="BI155" s="197" t="n">
        <f aca="false">Algae_yield_cost_factor/Q155</f>
        <v>0.0953012752041417</v>
      </c>
      <c r="BJ155" s="197" t="n">
        <f aca="false">Algae_yield_cost_factor/R155</f>
        <v>0.0877881418349886</v>
      </c>
      <c r="BK155" s="197" t="n">
        <f aca="false">Algae_yield_cost_factor/S155</f>
        <v>0.0806211570772778</v>
      </c>
      <c r="BL155" s="197" t="n">
        <f aca="false">Algae_yield_cost_factor/T155</f>
        <v>0.0745360658909923</v>
      </c>
      <c r="BM155" s="197" t="n">
        <f aca="false">Algae_yield_cost_factor/U155</f>
        <v>0.0698599903601324</v>
      </c>
      <c r="BN155" s="197" t="n">
        <f aca="false">Algae_yield_cost_factor/V155</f>
        <v>0.0665346797063146</v>
      </c>
      <c r="BO155" s="197" t="n">
        <f aca="false">Algae_yield_cost_factor/W155</f>
        <v>0.0642981303150125</v>
      </c>
      <c r="BP155" s="197" t="n">
        <f aca="false">Algae_yield_cost_factor/X155</f>
        <v>0.0628496997260066</v>
      </c>
      <c r="BQ155" s="197" t="n">
        <f aca="false">Algae_yield_cost_factor/Y155</f>
        <v>0.0619345170842337</v>
      </c>
      <c r="BR155" s="197" t="n">
        <f aca="false">Algae_yield_cost_factor/Z155</f>
        <v>0.0613652439026522</v>
      </c>
      <c r="BS155" s="197" t="n">
        <f aca="false">Algae_yield_cost_factor/AA155</f>
        <v>0.0610145783161295</v>
      </c>
      <c r="BT155" s="197" t="n">
        <f aca="false">Algae_yield_cost_factor/AB155</f>
        <v>0.0607998701506044</v>
      </c>
      <c r="BU155" s="197" t="n">
        <f aca="false">Algae_yield_cost_factor/AC155</f>
        <v>0.0606688917320103</v>
      </c>
    </row>
    <row r="156" customFormat="false" ht="15" hidden="false" customHeight="false" outlineLevel="0" collapsed="false">
      <c r="A156" s="18" t="s">
        <v>714</v>
      </c>
      <c r="B156" s="18" t="s">
        <v>22</v>
      </c>
      <c r="C156" s="18" t="s">
        <v>683</v>
      </c>
      <c r="D156" s="18" t="s">
        <v>683</v>
      </c>
      <c r="E156" s="28" t="n">
        <v>6.558685</v>
      </c>
      <c r="F156" s="185" t="n">
        <f aca="false">E156/$B$2*$F$3/1000</f>
        <v>0.01606877825</v>
      </c>
      <c r="G156" s="18" t="n">
        <f aca="false">LOOKUP(RIGHT(D156,5),Ref!$C$4:$C$21,Ref!$E$4:$E$21)*$G$3</f>
        <v>3</v>
      </c>
      <c r="H156" s="218" t="n">
        <f aca="false">$E156</f>
        <v>6.558685</v>
      </c>
      <c r="I156" s="177" t="n">
        <f aca="false">$E156</f>
        <v>6.558685</v>
      </c>
      <c r="J156" s="177" t="n">
        <f aca="false">$E156</f>
        <v>6.558685</v>
      </c>
      <c r="K156" s="177" t="n">
        <f aca="false">$E156</f>
        <v>6.558685</v>
      </c>
      <c r="L156" s="177" t="n">
        <f aca="false">$E156</f>
        <v>6.558685</v>
      </c>
      <c r="M156" s="177" t="n">
        <f aca="false">M$3*$E156</f>
        <v>6.86973636302161</v>
      </c>
      <c r="N156" s="177" t="n">
        <f aca="false">N$3*$E156</f>
        <v>7.05621490743263</v>
      </c>
      <c r="O156" s="177" t="n">
        <f aca="false">O$3*$E156</f>
        <v>7.34049941662263</v>
      </c>
      <c r="P156" s="177" t="n">
        <f aca="false">P$3*$E156</f>
        <v>7.75515654660589</v>
      </c>
      <c r="Q156" s="177" t="n">
        <f aca="false">Q$3*$E156</f>
        <v>8.32258706621807</v>
      </c>
      <c r="R156" s="177" t="n">
        <f aca="false">R$3*$E156</f>
        <v>9.03485532133636</v>
      </c>
      <c r="S156" s="177" t="n">
        <f aca="false">S$3*$E156</f>
        <v>9.8380275</v>
      </c>
      <c r="T156" s="177" t="n">
        <f aca="false">T$3*$E156</f>
        <v>10.6411996786636</v>
      </c>
      <c r="U156" s="177" t="n">
        <f aca="false">U$3*$E156</f>
        <v>11.3534679337819</v>
      </c>
      <c r="V156" s="177" t="n">
        <f aca="false">V$3*$E156</f>
        <v>11.9208984533941</v>
      </c>
      <c r="W156" s="177" t="n">
        <f aca="false">W$3*$E156</f>
        <v>12.3355555833774</v>
      </c>
      <c r="X156" s="177" t="n">
        <f aca="false">X$3*$E156</f>
        <v>12.6198400925674</v>
      </c>
      <c r="Y156" s="177" t="n">
        <f aca="false">Y$3*$E156</f>
        <v>12.8063186369784</v>
      </c>
      <c r="Z156" s="177" t="n">
        <f aca="false">Z$3*$E156</f>
        <v>12.9251203118545</v>
      </c>
      <c r="AA156" s="177" t="n">
        <f aca="false">AA$3*$E156</f>
        <v>12.9994041145148</v>
      </c>
      <c r="AB156" s="177" t="n">
        <f aca="false">AB$3*$E156</f>
        <v>13.0453101041729</v>
      </c>
      <c r="AC156" s="177" t="n">
        <f aca="false">AC$3*$E156</f>
        <v>13.0734736990357</v>
      </c>
      <c r="AD156" s="219" t="n">
        <f aca="false">Algae_electricity_factor/H156</f>
        <v>0.00209548058849133</v>
      </c>
      <c r="AE156" s="220" t="n">
        <f aca="false">Algae_electricity_factor/I156</f>
        <v>0.00209548058849133</v>
      </c>
      <c r="AF156" s="220" t="n">
        <f aca="false">Algae_electricity_factor/J156</f>
        <v>0.00209548058849133</v>
      </c>
      <c r="AG156" s="220" t="n">
        <f aca="false">Algae_electricity_factor/K156</f>
        <v>0.00209548058849133</v>
      </c>
      <c r="AH156" s="220" t="n">
        <f aca="false">Algae_electricity_factor/L156</f>
        <v>0.00209548058849133</v>
      </c>
      <c r="AI156" s="220" t="n">
        <f aca="false">Algae_electricity_factor/M156</f>
        <v>0.00200060036910707</v>
      </c>
      <c r="AJ156" s="220" t="n">
        <f aca="false">Algae_electricity_factor/N156</f>
        <v>0.00194772938237078</v>
      </c>
      <c r="AK156" s="220" t="n">
        <f aca="false">Algae_electricity_factor/O156</f>
        <v>0.00187229728162729</v>
      </c>
      <c r="AL156" s="220" t="n">
        <f aca="false">Algae_electricity_factor/P156</f>
        <v>0.00177218822353035</v>
      </c>
      <c r="AM156" s="220" t="n">
        <f aca="false">Algae_electricity_factor/Q156</f>
        <v>0.00165136116861011</v>
      </c>
      <c r="AN156" s="220" t="n">
        <f aca="false">Algae_electricity_factor/R156</f>
        <v>0.00152117511733397</v>
      </c>
      <c r="AO156" s="220" t="n">
        <f aca="false">Algae_electricity_factor/S156</f>
        <v>0.00139698705899422</v>
      </c>
      <c r="AP156" s="220" t="n">
        <f aca="false">Algae_electricity_factor/T156</f>
        <v>0.00129154583304044</v>
      </c>
      <c r="AQ156" s="220" t="n">
        <f aca="false">Algae_electricity_factor/U156</f>
        <v>0.00121051974460029</v>
      </c>
      <c r="AR156" s="220" t="n">
        <f aca="false">Algae_electricity_factor/V156</f>
        <v>0.00115289943599983</v>
      </c>
      <c r="AS156" s="220" t="n">
        <f aca="false">Algae_electricity_factor/W156</f>
        <v>0.0011141449617437</v>
      </c>
      <c r="AT156" s="220" t="n">
        <f aca="false">Algae_electricity_factor/X156</f>
        <v>0.00108904685025476</v>
      </c>
      <c r="AU156" s="220" t="n">
        <f aca="false">Algae_electricity_factor/Y156</f>
        <v>0.00107318875104704</v>
      </c>
      <c r="AV156" s="220" t="n">
        <f aca="false">Algae_electricity_factor/Z156</f>
        <v>0.00106332450081134</v>
      </c>
      <c r="AW156" s="220" t="n">
        <f aca="false">Algae_electricity_factor/AA156</f>
        <v>0.00105724823864684</v>
      </c>
      <c r="AX156" s="220" t="n">
        <f aca="false">Algae_electricity_factor/AB156</f>
        <v>0.00105352781909976</v>
      </c>
      <c r="AY156" s="220" t="n">
        <f aca="false">Algae_electricity_factor/AC156</f>
        <v>0.00105125825162619</v>
      </c>
      <c r="AZ156" s="221" t="n">
        <f aca="false">Algae_yield_cost_factor/H156</f>
        <v>0.116005360721885</v>
      </c>
      <c r="BA156" s="197" t="n">
        <f aca="false">Algae_yield_cost_factor/I156</f>
        <v>0.116005360721885</v>
      </c>
      <c r="BB156" s="197" t="n">
        <f aca="false">Algae_yield_cost_factor/J156</f>
        <v>0.116005360721885</v>
      </c>
      <c r="BC156" s="197" t="n">
        <f aca="false">Algae_yield_cost_factor/K156</f>
        <v>0.116005360721885</v>
      </c>
      <c r="BD156" s="197" t="n">
        <f aca="false">Algae_yield_cost_factor/L156</f>
        <v>0.116005360721885</v>
      </c>
      <c r="BE156" s="197" t="n">
        <f aca="false">Algae_yield_cost_factor/M156</f>
        <v>0.110752811910174</v>
      </c>
      <c r="BF156" s="197" t="n">
        <f aca="false">Algae_yield_cost_factor/N156</f>
        <v>0.107825885303577</v>
      </c>
      <c r="BG156" s="197" t="n">
        <f aca="false">Algae_yield_cost_factor/O156</f>
        <v>0.103649980212965</v>
      </c>
      <c r="BH156" s="197" t="n">
        <f aca="false">Algae_yield_cost_factor/P156</f>
        <v>0.0981079639996703</v>
      </c>
      <c r="BI156" s="197" t="n">
        <f aca="false">Algae_yield_cost_factor/Q156</f>
        <v>0.091419003878557</v>
      </c>
      <c r="BJ156" s="197" t="n">
        <f aca="false">Algae_yield_cost_factor/R156</f>
        <v>0.0842119317051421</v>
      </c>
      <c r="BK156" s="197" t="n">
        <f aca="false">Algae_yield_cost_factor/S156</f>
        <v>0.0773369071479235</v>
      </c>
      <c r="BL156" s="197" t="n">
        <f aca="false">Algae_yield_cost_factor/T156</f>
        <v>0.0714997032535497</v>
      </c>
      <c r="BM156" s="197" t="n">
        <f aca="false">Algae_yield_cost_factor/U156</f>
        <v>0.0670141161910848</v>
      </c>
      <c r="BN156" s="197" t="n">
        <f aca="false">Algae_yield_cost_factor/V156</f>
        <v>0.0638242681338831</v>
      </c>
      <c r="BO156" s="197" t="n">
        <f aca="false">Algae_yield_cost_factor/W156</f>
        <v>0.0616788286626897</v>
      </c>
      <c r="BP156" s="197" t="n">
        <f aca="false">Algae_yield_cost_factor/X156</f>
        <v>0.0602894025364336</v>
      </c>
      <c r="BQ156" s="197" t="n">
        <f aca="false">Algae_yield_cost_factor/Y156</f>
        <v>0.0594115015293526</v>
      </c>
      <c r="BR156" s="197" t="n">
        <f aca="false">Algae_yield_cost_factor/Z156</f>
        <v>0.0588654187294795</v>
      </c>
      <c r="BS156" s="197" t="n">
        <f aca="false">Algae_yield_cost_factor/AA156</f>
        <v>0.058529038145424</v>
      </c>
      <c r="BT156" s="197" t="n">
        <f aca="false">Algae_yield_cost_factor/AB156</f>
        <v>0.0583230765087633</v>
      </c>
      <c r="BU156" s="197" t="n">
        <f aca="false">Algae_yield_cost_factor/AC156</f>
        <v>0.0581974337350248</v>
      </c>
    </row>
    <row r="157" customFormat="false" ht="15" hidden="false" customHeight="false" outlineLevel="0" collapsed="false">
      <c r="A157" s="18" t="s">
        <v>714</v>
      </c>
      <c r="B157" s="18" t="s">
        <v>22</v>
      </c>
      <c r="C157" s="18" t="s">
        <v>684</v>
      </c>
      <c r="D157" s="18" t="s">
        <v>684</v>
      </c>
      <c r="E157" s="28" t="n">
        <v>6.474735</v>
      </c>
      <c r="F157" s="185" t="n">
        <f aca="false">E157/$B$2*$F$3/1000</f>
        <v>0.01586310075</v>
      </c>
      <c r="G157" s="18" t="n">
        <f aca="false">LOOKUP(RIGHT(D157,5),Ref!$C$4:$C$21,Ref!$E$4:$E$21)*$G$3</f>
        <v>3.5</v>
      </c>
      <c r="H157" s="218" t="n">
        <f aca="false">$E157</f>
        <v>6.474735</v>
      </c>
      <c r="I157" s="177" t="n">
        <f aca="false">$E157</f>
        <v>6.474735</v>
      </c>
      <c r="J157" s="177" t="n">
        <f aca="false">$E157</f>
        <v>6.474735</v>
      </c>
      <c r="K157" s="177" t="n">
        <f aca="false">$E157</f>
        <v>6.474735</v>
      </c>
      <c r="L157" s="177" t="n">
        <f aca="false">$E157</f>
        <v>6.474735</v>
      </c>
      <c r="M157" s="177" t="n">
        <f aca="false">M$3*$E157</f>
        <v>6.78180496096835</v>
      </c>
      <c r="N157" s="177" t="n">
        <f aca="false">N$3*$E157</f>
        <v>6.96589661321985</v>
      </c>
      <c r="O157" s="177" t="n">
        <f aca="false">O$3*$E157</f>
        <v>7.24654233131888</v>
      </c>
      <c r="P157" s="177" t="n">
        <f aca="false">P$3*$E157</f>
        <v>7.65589192388235</v>
      </c>
      <c r="Q157" s="177" t="n">
        <f aca="false">Q$3*$E157</f>
        <v>8.21605943389406</v>
      </c>
      <c r="R157" s="177" t="n">
        <f aca="false">R$3*$E157</f>
        <v>8.91921078219076</v>
      </c>
      <c r="S157" s="177" t="n">
        <f aca="false">S$3*$E157</f>
        <v>9.7121025</v>
      </c>
      <c r="T157" s="177" t="n">
        <f aca="false">T$3*$E157</f>
        <v>10.5049942178092</v>
      </c>
      <c r="U157" s="177" t="n">
        <f aca="false">U$3*$E157</f>
        <v>11.2081455661059</v>
      </c>
      <c r="V157" s="177" t="n">
        <f aca="false">V$3*$E157</f>
        <v>11.7683130761177</v>
      </c>
      <c r="W157" s="177" t="n">
        <f aca="false">W$3*$E157</f>
        <v>12.1776626686811</v>
      </c>
      <c r="X157" s="177" t="n">
        <f aca="false">X$3*$E157</f>
        <v>12.4583083867802</v>
      </c>
      <c r="Y157" s="177" t="n">
        <f aca="false">Y$3*$E157</f>
        <v>12.6424000390316</v>
      </c>
      <c r="Z157" s="177" t="n">
        <f aca="false">Z$3*$E157</f>
        <v>12.7596810736261</v>
      </c>
      <c r="AA157" s="177" t="n">
        <f aca="false">AA$3*$E157</f>
        <v>12.8330140568411</v>
      </c>
      <c r="AB157" s="177" t="n">
        <f aca="false">AB$3*$E157</f>
        <v>12.8783324580067</v>
      </c>
      <c r="AC157" s="177" t="n">
        <f aca="false">AC$3*$E157</f>
        <v>12.9061355638708</v>
      </c>
      <c r="AD157" s="219" t="n">
        <f aca="false">Algae_electricity_factor/H157</f>
        <v>0.00212265013217209</v>
      </c>
      <c r="AE157" s="220" t="n">
        <f aca="false">Algae_electricity_factor/I157</f>
        <v>0.00212265013217209</v>
      </c>
      <c r="AF157" s="220" t="n">
        <f aca="false">Algae_electricity_factor/J157</f>
        <v>0.00212265013217209</v>
      </c>
      <c r="AG157" s="220" t="n">
        <f aca="false">Algae_electricity_factor/K157</f>
        <v>0.00212265013217209</v>
      </c>
      <c r="AH157" s="220" t="n">
        <f aca="false">Algae_electricity_factor/L157</f>
        <v>0.00212265013217209</v>
      </c>
      <c r="AI157" s="220" t="n">
        <f aca="false">Algae_electricity_factor/M157</f>
        <v>0.00202653971658407</v>
      </c>
      <c r="AJ157" s="220" t="n">
        <f aca="false">Algae_electricity_factor/N157</f>
        <v>0.0019729832161802</v>
      </c>
      <c r="AK157" s="220" t="n">
        <f aca="false">Algae_electricity_factor/O157</f>
        <v>0.001896573079292</v>
      </c>
      <c r="AL157" s="220" t="n">
        <f aca="false">Algae_electricity_factor/P157</f>
        <v>0.00179516602901048</v>
      </c>
      <c r="AM157" s="220" t="n">
        <f aca="false">Algae_electricity_factor/Q157</f>
        <v>0.00167277235688343</v>
      </c>
      <c r="AN157" s="220" t="n">
        <f aca="false">Algae_electricity_factor/R157</f>
        <v>0.00154089834169762</v>
      </c>
      <c r="AO157" s="220" t="n">
        <f aca="false">Algae_electricity_factor/S157</f>
        <v>0.00141510008811473</v>
      </c>
      <c r="AP157" s="220" t="n">
        <f aca="false">Algae_electricity_factor/T157</f>
        <v>0.00130829173425242</v>
      </c>
      <c r="AQ157" s="220" t="n">
        <f aca="false">Algae_electricity_factor/U157</f>
        <v>0.00122621507924475</v>
      </c>
      <c r="AR157" s="220" t="n">
        <f aca="false">Algae_electricity_factor/V157</f>
        <v>0.00116784767830661</v>
      </c>
      <c r="AS157" s="220" t="n">
        <f aca="false">Algae_electricity_factor/W157</f>
        <v>0.00112859072200082</v>
      </c>
      <c r="AT157" s="220" t="n">
        <f aca="false">Algae_electricity_factor/X157</f>
        <v>0.00110316719387946</v>
      </c>
      <c r="AU157" s="220" t="n">
        <f aca="false">Algae_electricity_factor/Y157</f>
        <v>0.00108710348202065</v>
      </c>
      <c r="AV157" s="220" t="n">
        <f aca="false">Algae_electricity_factor/Z157</f>
        <v>0.00107711133407064</v>
      </c>
      <c r="AW157" s="220" t="n">
        <f aca="false">Algae_electricity_factor/AA157</f>
        <v>0.0010709562884179</v>
      </c>
      <c r="AX157" s="220" t="n">
        <f aca="false">Algae_electricity_factor/AB157</f>
        <v>0.00106718763072346</v>
      </c>
      <c r="AY157" s="220" t="n">
        <f aca="false">Algae_electricity_factor/AC157</f>
        <v>0.00106488863653369</v>
      </c>
      <c r="AZ157" s="221" t="n">
        <f aca="false">Algae_yield_cost_factor/H157</f>
        <v>0.117509460894727</v>
      </c>
      <c r="BA157" s="197" t="n">
        <f aca="false">Algae_yield_cost_factor/I157</f>
        <v>0.117509460894727</v>
      </c>
      <c r="BB157" s="197" t="n">
        <f aca="false">Algae_yield_cost_factor/J157</f>
        <v>0.117509460894727</v>
      </c>
      <c r="BC157" s="197" t="n">
        <f aca="false">Algae_yield_cost_factor/K157</f>
        <v>0.117509460894727</v>
      </c>
      <c r="BD157" s="197" t="n">
        <f aca="false">Algae_yield_cost_factor/L157</f>
        <v>0.117509460894727</v>
      </c>
      <c r="BE157" s="197" t="n">
        <f aca="false">Algae_yield_cost_factor/M157</f>
        <v>0.112188808682221</v>
      </c>
      <c r="BF157" s="197" t="n">
        <f aca="false">Algae_yield_cost_factor/N157</f>
        <v>0.10922393218445</v>
      </c>
      <c r="BG157" s="197" t="n">
        <f aca="false">Algae_yield_cost_factor/O157</f>
        <v>0.104993883220405</v>
      </c>
      <c r="BH157" s="197" t="n">
        <f aca="false">Algae_yield_cost_factor/P157</f>
        <v>0.0993800104352035</v>
      </c>
      <c r="BI157" s="197" t="n">
        <f aca="false">Algae_yield_cost_factor/Q157</f>
        <v>0.0926043227179543</v>
      </c>
      <c r="BJ157" s="197" t="n">
        <f aca="false">Algae_yield_cost_factor/R157</f>
        <v>0.0853038052206832</v>
      </c>
      <c r="BK157" s="197" t="n">
        <f aca="false">Algae_yield_cost_factor/S157</f>
        <v>0.0783396405964844</v>
      </c>
      <c r="BL157" s="197" t="n">
        <f aca="false">Algae_yield_cost_factor/T157</f>
        <v>0.0724267527911964</v>
      </c>
      <c r="BM157" s="197" t="n">
        <f aca="false">Algae_yield_cost_factor/U157</f>
        <v>0.0678830065864819</v>
      </c>
      <c r="BN157" s="197" t="n">
        <f aca="false">Algae_yield_cost_factor/V157</f>
        <v>0.0646517996559978</v>
      </c>
      <c r="BO157" s="197" t="n">
        <f aca="false">Algae_yield_cost_factor/W157</f>
        <v>0.062478542885161</v>
      </c>
      <c r="BP157" s="197" t="n">
        <f aca="false">Algae_yield_cost_factor/X157</f>
        <v>0.0610711017631871</v>
      </c>
      <c r="BQ157" s="197" t="n">
        <f aca="false">Algae_yield_cost_factor/Y157</f>
        <v>0.060181818083372</v>
      </c>
      <c r="BR157" s="197" t="n">
        <f aca="false">Algae_yield_cost_factor/Z157</f>
        <v>0.0596286548931742</v>
      </c>
      <c r="BS157" s="197" t="n">
        <f aca="false">Algae_yield_cost_factor/AA157</f>
        <v>0.0592879128719276</v>
      </c>
      <c r="BT157" s="197" t="n">
        <f aca="false">Algae_yield_cost_factor/AB157</f>
        <v>0.0590792807816657</v>
      </c>
      <c r="BU157" s="197" t="n">
        <f aca="false">Algae_yield_cost_factor/AC157</f>
        <v>0.0589520089511619</v>
      </c>
    </row>
    <row r="158" customFormat="false" ht="15" hidden="false" customHeight="false" outlineLevel="0" collapsed="false">
      <c r="A158" s="18" t="s">
        <v>714</v>
      </c>
      <c r="B158" s="18" t="s">
        <v>22</v>
      </c>
      <c r="C158" s="18" t="s">
        <v>685</v>
      </c>
      <c r="D158" s="18" t="s">
        <v>685</v>
      </c>
      <c r="E158" s="28" t="n">
        <v>6.294425</v>
      </c>
      <c r="F158" s="185" t="n">
        <f aca="false">E158/$B$2*$F$3/1000</f>
        <v>0.01542134125</v>
      </c>
      <c r="G158" s="18" t="n">
        <f aca="false">LOOKUP(RIGHT(D158,5),Ref!$C$4:$C$21,Ref!$E$4:$E$21)*$G$3</f>
        <v>4</v>
      </c>
      <c r="H158" s="218" t="n">
        <f aca="false">$E158</f>
        <v>6.294425</v>
      </c>
      <c r="I158" s="177" t="n">
        <f aca="false">$E158</f>
        <v>6.294425</v>
      </c>
      <c r="J158" s="177" t="n">
        <f aca="false">$E158</f>
        <v>6.294425</v>
      </c>
      <c r="K158" s="177" t="n">
        <f aca="false">$E158</f>
        <v>6.294425</v>
      </c>
      <c r="L158" s="177" t="n">
        <f aca="false">$E158</f>
        <v>6.294425</v>
      </c>
      <c r="M158" s="177" t="n">
        <f aca="false">M$3*$E158</f>
        <v>6.59294360177571</v>
      </c>
      <c r="N158" s="177" t="n">
        <f aca="false">N$3*$E158</f>
        <v>6.77190862478022</v>
      </c>
      <c r="O158" s="177" t="n">
        <f aca="false">O$3*$E158</f>
        <v>7.04473885244907</v>
      </c>
      <c r="P158" s="177" t="n">
        <f aca="false">P$3*$E158</f>
        <v>7.44268877768483</v>
      </c>
      <c r="Q158" s="177" t="n">
        <f aca="false">Q$3*$E158</f>
        <v>7.98725660620683</v>
      </c>
      <c r="R158" s="177" t="n">
        <f aca="false">R$3*$E158</f>
        <v>8.67082642419977</v>
      </c>
      <c r="S158" s="177" t="n">
        <f aca="false">S$3*$E158</f>
        <v>9.4416375</v>
      </c>
      <c r="T158" s="177" t="n">
        <f aca="false">T$3*$E158</f>
        <v>10.2124485758002</v>
      </c>
      <c r="U158" s="177" t="n">
        <f aca="false">U$3*$E158</f>
        <v>10.8960183937932</v>
      </c>
      <c r="V158" s="177" t="n">
        <f aca="false">V$3*$E158</f>
        <v>11.4405862223152</v>
      </c>
      <c r="W158" s="177" t="n">
        <f aca="false">W$3*$E158</f>
        <v>11.8385361475509</v>
      </c>
      <c r="X158" s="177" t="n">
        <f aca="false">X$3*$E158</f>
        <v>12.1113663752198</v>
      </c>
      <c r="Y158" s="177" t="n">
        <f aca="false">Y$3*$E158</f>
        <v>12.2903313982243</v>
      </c>
      <c r="Z158" s="177" t="n">
        <f aca="false">Z$3*$E158</f>
        <v>12.4043463619529</v>
      </c>
      <c r="AA158" s="177" t="n">
        <f aca="false">AA$3*$E158</f>
        <v>12.4756371503594</v>
      </c>
      <c r="AB158" s="177" t="n">
        <f aca="false">AB$3*$E158</f>
        <v>12.5196935136324</v>
      </c>
      <c r="AC158" s="177" t="n">
        <f aca="false">AC$3*$E158</f>
        <v>12.5467223518209</v>
      </c>
      <c r="AD158" s="219" t="n">
        <f aca="false">Algae_electricity_factor/H158</f>
        <v>0.00218345553462457</v>
      </c>
      <c r="AE158" s="220" t="n">
        <f aca="false">Algae_electricity_factor/I158</f>
        <v>0.00218345553462457</v>
      </c>
      <c r="AF158" s="220" t="n">
        <f aca="false">Algae_electricity_factor/J158</f>
        <v>0.00218345553462457</v>
      </c>
      <c r="AG158" s="220" t="n">
        <f aca="false">Algae_electricity_factor/K158</f>
        <v>0.00218345553462457</v>
      </c>
      <c r="AH158" s="220" t="n">
        <f aca="false">Algae_electricity_factor/L158</f>
        <v>0.00218345553462457</v>
      </c>
      <c r="AI158" s="220" t="n">
        <f aca="false">Algae_electricity_factor/M158</f>
        <v>0.00208459194157639</v>
      </c>
      <c r="AJ158" s="220" t="n">
        <f aca="false">Algae_electricity_factor/N158</f>
        <v>0.00202950126250047</v>
      </c>
      <c r="AK158" s="220" t="n">
        <f aca="false">Algae_electricity_factor/O158</f>
        <v>0.0019509022820273</v>
      </c>
      <c r="AL158" s="220" t="n">
        <f aca="false">Algae_electricity_factor/P158</f>
        <v>0.00184659032697111</v>
      </c>
      <c r="AM158" s="220" t="n">
        <f aca="false">Algae_electricity_factor/Q158</f>
        <v>0.00172069056762859</v>
      </c>
      <c r="AN158" s="220" t="n">
        <f aca="false">Algae_electricity_factor/R158</f>
        <v>0.00158503889146849</v>
      </c>
      <c r="AO158" s="220" t="n">
        <f aca="false">Algae_electricity_factor/S158</f>
        <v>0.00145563702308305</v>
      </c>
      <c r="AP158" s="220" t="n">
        <f aca="false">Algae_electricity_factor/T158</f>
        <v>0.00134576903878826</v>
      </c>
      <c r="AQ158" s="220" t="n">
        <f aca="false">Algae_electricity_factor/U158</f>
        <v>0.0012613412172063</v>
      </c>
      <c r="AR158" s="220" t="n">
        <f aca="false">Algae_electricity_factor/V158</f>
        <v>0.00120130182461472</v>
      </c>
      <c r="AS158" s="220" t="n">
        <f aca="false">Algae_electricity_factor/W158</f>
        <v>0.00116092031415324</v>
      </c>
      <c r="AT158" s="220" t="n">
        <f aca="false">Algae_electricity_factor/X158</f>
        <v>0.00113476850404336</v>
      </c>
      <c r="AU158" s="220" t="n">
        <f aca="false">Algae_electricity_factor/Y158</f>
        <v>0.00111824463134614</v>
      </c>
      <c r="AV158" s="220" t="n">
        <f aca="false">Algae_electricity_factor/Z158</f>
        <v>0.0011079662484824</v>
      </c>
      <c r="AW158" s="220" t="n">
        <f aca="false">Algae_electricity_factor/AA158</f>
        <v>0.00110163488548826</v>
      </c>
      <c r="AX158" s="220" t="n">
        <f aca="false">Algae_electricity_factor/AB158</f>
        <v>0.00109775827088452</v>
      </c>
      <c r="AY158" s="220" t="n">
        <f aca="false">Algae_electricity_factor/AC158</f>
        <v>0.00109539341974318</v>
      </c>
      <c r="AZ158" s="221" t="n">
        <f aca="false">Algae_yield_cost_factor/H158</f>
        <v>0.120875635071705</v>
      </c>
      <c r="BA158" s="197" t="n">
        <f aca="false">Algae_yield_cost_factor/I158</f>
        <v>0.120875635071705</v>
      </c>
      <c r="BB158" s="197" t="n">
        <f aca="false">Algae_yield_cost_factor/J158</f>
        <v>0.120875635071705</v>
      </c>
      <c r="BC158" s="197" t="n">
        <f aca="false">Algae_yield_cost_factor/K158</f>
        <v>0.120875635071705</v>
      </c>
      <c r="BD158" s="197" t="n">
        <f aca="false">Algae_yield_cost_factor/L158</f>
        <v>0.120875635071705</v>
      </c>
      <c r="BE158" s="197" t="n">
        <f aca="false">Algae_yield_cost_factor/M158</f>
        <v>0.115402567539224</v>
      </c>
      <c r="BF158" s="197" t="n">
        <f aca="false">Algae_yield_cost_factor/N158</f>
        <v>0.112352759235719</v>
      </c>
      <c r="BG158" s="197" t="n">
        <f aca="false">Algae_yield_cost_factor/O158</f>
        <v>0.108001536355278</v>
      </c>
      <c r="BH158" s="197" t="n">
        <f aca="false">Algae_yield_cost_factor/P158</f>
        <v>0.102226848658166</v>
      </c>
      <c r="BI158" s="197" t="n">
        <f aca="false">Algae_yield_cost_factor/Q158</f>
        <v>0.0952570646966536</v>
      </c>
      <c r="BJ158" s="197" t="n">
        <f aca="false">Algae_yield_cost_factor/R158</f>
        <v>0.0877474166894577</v>
      </c>
      <c r="BK158" s="197" t="n">
        <f aca="false">Algae_yield_cost_factor/S158</f>
        <v>0.0805837567144701</v>
      </c>
      <c r="BL158" s="197" t="n">
        <f aca="false">Algae_yield_cost_factor/T158</f>
        <v>0.0745014884176882</v>
      </c>
      <c r="BM158" s="197" t="n">
        <f aca="false">Algae_yield_cost_factor/U158</f>
        <v>0.0698275821303336</v>
      </c>
      <c r="BN158" s="197" t="n">
        <f aca="false">Algae_yield_cost_factor/V158</f>
        <v>0.0665038140967089</v>
      </c>
      <c r="BO158" s="197" t="n">
        <f aca="false">Algae_yield_cost_factor/W158</f>
        <v>0.0642683022464408</v>
      </c>
      <c r="BP158" s="197" t="n">
        <f aca="false">Algae_yield_cost_factor/X158</f>
        <v>0.0628205435881227</v>
      </c>
      <c r="BQ158" s="197" t="n">
        <f aca="false">Algae_yield_cost_factor/Y158</f>
        <v>0.0619057855019389</v>
      </c>
      <c r="BR158" s="197" t="n">
        <f aca="false">Algae_yield_cost_factor/Z158</f>
        <v>0.0613367764076553</v>
      </c>
      <c r="BS158" s="197" t="n">
        <f aca="false">Algae_yield_cost_factor/AA158</f>
        <v>0.0609862734958031</v>
      </c>
      <c r="BT158" s="197" t="n">
        <f aca="false">Algae_yield_cost_factor/AB158</f>
        <v>0.06077166493395</v>
      </c>
      <c r="BU158" s="197" t="n">
        <f aca="false">Algae_yield_cost_factor/AC158</f>
        <v>0.0606407472765823</v>
      </c>
    </row>
    <row r="159" customFormat="false" ht="15" hidden="false" customHeight="false" outlineLevel="0" collapsed="false">
      <c r="A159" s="18" t="s">
        <v>714</v>
      </c>
      <c r="B159" s="18" t="s">
        <v>22</v>
      </c>
      <c r="C159" s="18" t="s">
        <v>686</v>
      </c>
      <c r="D159" s="18" t="s">
        <v>686</v>
      </c>
      <c r="E159" s="28" t="n">
        <v>6.39699</v>
      </c>
      <c r="F159" s="185" t="n">
        <f aca="false">E159/$B$2*$F$3/1000</f>
        <v>0.0156726255</v>
      </c>
      <c r="G159" s="18" t="n">
        <f aca="false">LOOKUP(RIGHT(D159,5),Ref!$C$4:$C$21,Ref!$E$4:$E$21)*$G$3</f>
        <v>4.5</v>
      </c>
      <c r="H159" s="218" t="n">
        <f aca="false">$E159</f>
        <v>6.39699</v>
      </c>
      <c r="I159" s="177" t="n">
        <f aca="false">$E159</f>
        <v>6.39699</v>
      </c>
      <c r="J159" s="177" t="n">
        <f aca="false">$E159</f>
        <v>6.39699</v>
      </c>
      <c r="K159" s="177" t="n">
        <f aca="false">$E159</f>
        <v>6.39699</v>
      </c>
      <c r="L159" s="177" t="n">
        <f aca="false">$E159</f>
        <v>6.39699</v>
      </c>
      <c r="M159" s="177" t="n">
        <f aca="false">M$3*$E159</f>
        <v>6.70037283645816</v>
      </c>
      <c r="N159" s="177" t="n">
        <f aca="false">N$3*$E159</f>
        <v>6.88225401901409</v>
      </c>
      <c r="O159" s="177" t="n">
        <f aca="false">O$3*$E159</f>
        <v>7.15952990014627</v>
      </c>
      <c r="P159" s="177" t="n">
        <f aca="false">P$3*$E159</f>
        <v>7.56396425153402</v>
      </c>
      <c r="Q159" s="177" t="n">
        <f aca="false">Q$3*$E159</f>
        <v>8.11740558308965</v>
      </c>
      <c r="R159" s="177" t="n">
        <f aca="false">R$3*$E159</f>
        <v>8.81211388289505</v>
      </c>
      <c r="S159" s="177" t="n">
        <f aca="false">S$3*$E159</f>
        <v>9.595485</v>
      </c>
      <c r="T159" s="177" t="n">
        <f aca="false">T$3*$E159</f>
        <v>10.378856117105</v>
      </c>
      <c r="U159" s="177" t="n">
        <f aca="false">U$3*$E159</f>
        <v>11.0735644169104</v>
      </c>
      <c r="V159" s="177" t="n">
        <f aca="false">V$3*$E159</f>
        <v>11.627005748466</v>
      </c>
      <c r="W159" s="177" t="n">
        <f aca="false">W$3*$E159</f>
        <v>12.0314400998537</v>
      </c>
      <c r="X159" s="177" t="n">
        <f aca="false">X$3*$E159</f>
        <v>12.3087159809859</v>
      </c>
      <c r="Y159" s="177" t="n">
        <f aca="false">Y$3*$E159</f>
        <v>12.4905971635418</v>
      </c>
      <c r="Z159" s="177" t="n">
        <f aca="false">Z$3*$E159</f>
        <v>12.6064699530059</v>
      </c>
      <c r="AA159" s="177" t="n">
        <f aca="false">AA$3*$E159</f>
        <v>12.6789223947346</v>
      </c>
      <c r="AB159" s="177" t="n">
        <f aca="false">AB$3*$E159</f>
        <v>12.7236966378615</v>
      </c>
      <c r="AC159" s="177" t="n">
        <f aca="false">AC$3*$E159</f>
        <v>12.7511658995659</v>
      </c>
      <c r="AD159" s="219" t="n">
        <f aca="false">Algae_electricity_factor/H159</f>
        <v>0.00214844748913618</v>
      </c>
      <c r="AE159" s="220" t="n">
        <f aca="false">Algae_electricity_factor/I159</f>
        <v>0.00214844748913618</v>
      </c>
      <c r="AF159" s="220" t="n">
        <f aca="false">Algae_electricity_factor/J159</f>
        <v>0.00214844748913618</v>
      </c>
      <c r="AG159" s="220" t="n">
        <f aca="false">Algae_electricity_factor/K159</f>
        <v>0.00214844748913618</v>
      </c>
      <c r="AH159" s="220" t="n">
        <f aca="false">Algae_electricity_factor/L159</f>
        <v>0.00214844748913618</v>
      </c>
      <c r="AI159" s="220" t="n">
        <f aca="false">Algae_electricity_factor/M159</f>
        <v>0.00205116900790168</v>
      </c>
      <c r="AJ159" s="220" t="n">
        <f aca="false">Algae_electricity_factor/N159</f>
        <v>0.00199696161541827</v>
      </c>
      <c r="AK159" s="220" t="n">
        <f aca="false">Algae_electricity_factor/O159</f>
        <v>0.00191962283770174</v>
      </c>
      <c r="AL159" s="220" t="n">
        <f aca="false">Algae_electricity_factor/P159</f>
        <v>0.00181698334980126</v>
      </c>
      <c r="AM159" s="220" t="n">
        <f aca="false">Algae_electricity_factor/Q159</f>
        <v>0.00169310218183014</v>
      </c>
      <c r="AN159" s="220" t="n">
        <f aca="false">Algae_electricity_factor/R159</f>
        <v>0.00155962545266313</v>
      </c>
      <c r="AO159" s="220" t="n">
        <f aca="false">Algae_electricity_factor/S159</f>
        <v>0.00143229832609079</v>
      </c>
      <c r="AP159" s="220" t="n">
        <f aca="false">Algae_electricity_factor/T159</f>
        <v>0.00132419189055709</v>
      </c>
      <c r="AQ159" s="220" t="n">
        <f aca="false">Algae_electricity_factor/U159</f>
        <v>0.0012411177274177</v>
      </c>
      <c r="AR159" s="220" t="n">
        <f aca="false">Algae_electricity_factor/V159</f>
        <v>0.00118204096573553</v>
      </c>
      <c r="AS159" s="220" t="n">
        <f aca="false">Algae_electricity_factor/W159</f>
        <v>0.00114230690503096</v>
      </c>
      <c r="AT159" s="220" t="n">
        <f aca="false">Algae_electricity_factor/X159</f>
        <v>0.00111657439531141</v>
      </c>
      <c r="AU159" s="220" t="n">
        <f aca="false">Algae_electricity_factor/Y159</f>
        <v>0.00110031545518454</v>
      </c>
      <c r="AV159" s="220" t="n">
        <f aca="false">Algae_electricity_factor/Z159</f>
        <v>0.00109020186894209</v>
      </c>
      <c r="AW159" s="220" t="n">
        <f aca="false">Algae_electricity_factor/AA159</f>
        <v>0.00108397201872904</v>
      </c>
      <c r="AX159" s="220" t="n">
        <f aca="false">Algae_electricity_factor/AB159</f>
        <v>0.0010801575591352</v>
      </c>
      <c r="AY159" s="220" t="n">
        <f aca="false">Algae_electricity_factor/AC159</f>
        <v>0.00107783062441351</v>
      </c>
      <c r="AZ159" s="221" t="n">
        <f aca="false">Algae_yield_cost_factor/H159</f>
        <v>0.118937597102109</v>
      </c>
      <c r="BA159" s="197" t="n">
        <f aca="false">Algae_yield_cost_factor/I159</f>
        <v>0.118937597102109</v>
      </c>
      <c r="BB159" s="197" t="n">
        <f aca="false">Algae_yield_cost_factor/J159</f>
        <v>0.118937597102109</v>
      </c>
      <c r="BC159" s="197" t="n">
        <f aca="false">Algae_yield_cost_factor/K159</f>
        <v>0.118937597102109</v>
      </c>
      <c r="BD159" s="197" t="n">
        <f aca="false">Algae_yield_cost_factor/L159</f>
        <v>0.118937597102109</v>
      </c>
      <c r="BE159" s="197" t="n">
        <f aca="false">Algae_yield_cost_factor/M159</f>
        <v>0.113552281023275</v>
      </c>
      <c r="BF159" s="197" t="n">
        <f aca="false">Algae_yield_cost_factor/N159</f>
        <v>0.110551371278099</v>
      </c>
      <c r="BG159" s="197" t="n">
        <f aca="false">Algae_yield_cost_factor/O159</f>
        <v>0.106269912954854</v>
      </c>
      <c r="BH159" s="197" t="n">
        <f aca="false">Algae_yield_cost_factor/P159</f>
        <v>0.100587812684587</v>
      </c>
      <c r="BI159" s="197" t="n">
        <f aca="false">Algae_yield_cost_factor/Q159</f>
        <v>0.0937297775130544</v>
      </c>
      <c r="BJ159" s="197" t="n">
        <f aca="false">Algae_yield_cost_factor/R159</f>
        <v>0.0863405341098767</v>
      </c>
      <c r="BK159" s="197" t="n">
        <f aca="false">Algae_yield_cost_factor/S159</f>
        <v>0.0792917314014057</v>
      </c>
      <c r="BL159" s="197" t="n">
        <f aca="false">Algae_yield_cost_factor/T159</f>
        <v>0.0733069820702404</v>
      </c>
      <c r="BM159" s="197" t="n">
        <f aca="false">Algae_yield_cost_factor/U159</f>
        <v>0.0687080140270229</v>
      </c>
      <c r="BN159" s="197" t="n">
        <f aca="false">Algae_yield_cost_factor/V159</f>
        <v>0.0654375370362744</v>
      </c>
      <c r="BO159" s="197" t="n">
        <f aca="false">Algae_yield_cost_factor/W159</f>
        <v>0.0632378678671614</v>
      </c>
      <c r="BP159" s="197" t="n">
        <f aca="false">Algae_yield_cost_factor/X159</f>
        <v>0.0618133215894771</v>
      </c>
      <c r="BQ159" s="197" t="n">
        <f aca="false">Algae_yield_cost_factor/Y159</f>
        <v>0.0609132301141696</v>
      </c>
      <c r="BR159" s="197" t="n">
        <f aca="false">Algae_yield_cost_factor/Z159</f>
        <v>0.0603533441258711</v>
      </c>
      <c r="BS159" s="197" t="n">
        <f aca="false">Algae_yield_cost_factor/AA159</f>
        <v>0.0600084609400391</v>
      </c>
      <c r="BT159" s="197" t="n">
        <f aca="false">Algae_yield_cost_factor/AB159</f>
        <v>0.0597972932663454</v>
      </c>
      <c r="BU159" s="197" t="n">
        <f aca="false">Algae_yield_cost_factor/AC159</f>
        <v>0.0596684746539234</v>
      </c>
    </row>
    <row r="160" customFormat="false" ht="15" hidden="false" customHeight="false" outlineLevel="0" collapsed="false">
      <c r="A160" s="18" t="s">
        <v>714</v>
      </c>
      <c r="B160" s="18" t="s">
        <v>22</v>
      </c>
      <c r="C160" s="18" t="s">
        <v>687</v>
      </c>
      <c r="D160" s="18" t="s">
        <v>687</v>
      </c>
      <c r="E160" s="28" t="n">
        <v>6.2274475</v>
      </c>
      <c r="F160" s="185" t="n">
        <f aca="false">E160/$B$2*$F$3/1000</f>
        <v>0.015257246375</v>
      </c>
      <c r="G160" s="18" t="n">
        <f aca="false">LOOKUP(RIGHT(D160,5),Ref!$C$4:$C$21,Ref!$E$4:$E$21)*$G$3</f>
        <v>4.5</v>
      </c>
      <c r="H160" s="218" t="n">
        <f aca="false">$E160</f>
        <v>6.2274475</v>
      </c>
      <c r="I160" s="177" t="n">
        <f aca="false">$E160</f>
        <v>6.2274475</v>
      </c>
      <c r="J160" s="177" t="n">
        <f aca="false">$E160</f>
        <v>6.2274475</v>
      </c>
      <c r="K160" s="177" t="n">
        <f aca="false">$E160</f>
        <v>6.2274475</v>
      </c>
      <c r="L160" s="177" t="n">
        <f aca="false">$E160</f>
        <v>6.2274475</v>
      </c>
      <c r="M160" s="177" t="n">
        <f aca="false">M$3*$E160</f>
        <v>6.52278963535496</v>
      </c>
      <c r="N160" s="177" t="n">
        <f aca="false">N$3*$E160</f>
        <v>6.69985033352784</v>
      </c>
      <c r="O160" s="177" t="n">
        <f aca="false">O$3*$E160</f>
        <v>6.96977743873933</v>
      </c>
      <c r="P160" s="177" t="n">
        <f aca="false">P$3*$E160</f>
        <v>7.36349287216409</v>
      </c>
      <c r="Q160" s="177" t="n">
        <f aca="false">Q$3*$E160</f>
        <v>7.90226608215702</v>
      </c>
      <c r="R160" s="177" t="n">
        <f aca="false">R$3*$E160</f>
        <v>8.57856219405534</v>
      </c>
      <c r="S160" s="177" t="n">
        <f aca="false">S$3*$E160</f>
        <v>9.34117125</v>
      </c>
      <c r="T160" s="177" t="n">
        <f aca="false">T$3*$E160</f>
        <v>10.1037803059447</v>
      </c>
      <c r="U160" s="177" t="n">
        <f aca="false">U$3*$E160</f>
        <v>10.780076417843</v>
      </c>
      <c r="V160" s="177" t="n">
        <f aca="false">V$3*$E160</f>
        <v>11.3188496278359</v>
      </c>
      <c r="W160" s="177" t="n">
        <f aca="false">W$3*$E160</f>
        <v>11.7125650612607</v>
      </c>
      <c r="X160" s="177" t="n">
        <f aca="false">X$3*$E160</f>
        <v>11.9824921664722</v>
      </c>
      <c r="Y160" s="177" t="n">
        <f aca="false">Y$3*$E160</f>
        <v>12.159552864645</v>
      </c>
      <c r="Z160" s="177" t="n">
        <f aca="false">Z$3*$E160</f>
        <v>12.272354621888</v>
      </c>
      <c r="AA160" s="177" t="n">
        <f aca="false">AA$3*$E160</f>
        <v>12.3428868217371</v>
      </c>
      <c r="AB160" s="177" t="n">
        <f aca="false">AB$3*$E160</f>
        <v>12.3864743915825</v>
      </c>
      <c r="AC160" s="177" t="n">
        <f aca="false">AC$3*$E160</f>
        <v>12.4132156222437</v>
      </c>
      <c r="AD160" s="219" t="n">
        <f aca="false">Algae_electricity_factor/H160</f>
        <v>0.00220693905545238</v>
      </c>
      <c r="AE160" s="220" t="n">
        <f aca="false">Algae_electricity_factor/I160</f>
        <v>0.00220693905545238</v>
      </c>
      <c r="AF160" s="220" t="n">
        <f aca="false">Algae_electricity_factor/J160</f>
        <v>0.00220693905545238</v>
      </c>
      <c r="AG160" s="220" t="n">
        <f aca="false">Algae_electricity_factor/K160</f>
        <v>0.00220693905545238</v>
      </c>
      <c r="AH160" s="220" t="n">
        <f aca="false">Algae_electricity_factor/L160</f>
        <v>0.00220693905545238</v>
      </c>
      <c r="AI160" s="220" t="n">
        <f aca="false">Algae_electricity_factor/M160</f>
        <v>0.00210701216378893</v>
      </c>
      <c r="AJ160" s="220" t="n">
        <f aca="false">Algae_electricity_factor/N160</f>
        <v>0.00205132897294028</v>
      </c>
      <c r="AK160" s="220" t="n">
        <f aca="false">Algae_electricity_factor/O160</f>
        <v>0.00197188464399735</v>
      </c>
      <c r="AL160" s="220" t="n">
        <f aca="false">Algae_electricity_factor/P160</f>
        <v>0.00186645079205327</v>
      </c>
      <c r="AM160" s="220" t="n">
        <f aca="false">Algae_electricity_factor/Q160</f>
        <v>0.00173919695447382</v>
      </c>
      <c r="AN160" s="220" t="n">
        <f aca="false">Algae_electricity_factor/R160</f>
        <v>0.00160208631617232</v>
      </c>
      <c r="AO160" s="220" t="n">
        <f aca="false">Algae_electricity_factor/S160</f>
        <v>0.00147129270363492</v>
      </c>
      <c r="AP160" s="220" t="n">
        <f aca="false">Algae_electricity_factor/T160</f>
        <v>0.00136024306619603</v>
      </c>
      <c r="AQ160" s="220" t="n">
        <f aca="false">Algae_electricity_factor/U160</f>
        <v>0.00127490720573939</v>
      </c>
      <c r="AR160" s="220" t="n">
        <f aca="false">Algae_electricity_factor/V160</f>
        <v>0.00121422207692646</v>
      </c>
      <c r="AS160" s="220" t="n">
        <f aca="false">Algae_electricity_factor/W160</f>
        <v>0.00117340625487633</v>
      </c>
      <c r="AT160" s="220" t="n">
        <f aca="false">Algae_electricity_factor/X160</f>
        <v>0.00114697317658048</v>
      </c>
      <c r="AU160" s="220" t="n">
        <f aca="false">Algae_electricity_factor/Y160</f>
        <v>0.00113027158617731</v>
      </c>
      <c r="AV160" s="220" t="n">
        <f aca="false">Algae_electricity_factor/Z160</f>
        <v>0.0011198826571567</v>
      </c>
      <c r="AW160" s="220" t="n">
        <f aca="false">Algae_electricity_factor/AA160</f>
        <v>0.00111348319902969</v>
      </c>
      <c r="AX160" s="220" t="n">
        <f aca="false">Algae_electricity_factor/AB160</f>
        <v>0.0011095648906253</v>
      </c>
      <c r="AY160" s="220" t="n">
        <f aca="false">Algae_electricity_factor/AC160</f>
        <v>0.00110717460501545</v>
      </c>
      <c r="AZ160" s="221" t="n">
        <f aca="false">Algae_yield_cost_factor/H160</f>
        <v>0.122175677801574</v>
      </c>
      <c r="BA160" s="197" t="n">
        <f aca="false">Algae_yield_cost_factor/I160</f>
        <v>0.122175677801574</v>
      </c>
      <c r="BB160" s="197" t="n">
        <f aca="false">Algae_yield_cost_factor/J160</f>
        <v>0.122175677801574</v>
      </c>
      <c r="BC160" s="197" t="n">
        <f aca="false">Algae_yield_cost_factor/K160</f>
        <v>0.122175677801574</v>
      </c>
      <c r="BD160" s="197" t="n">
        <f aca="false">Algae_yield_cost_factor/L160</f>
        <v>0.122175677801574</v>
      </c>
      <c r="BE160" s="197" t="n">
        <f aca="false">Algae_yield_cost_factor/M160</f>
        <v>0.116643746283382</v>
      </c>
      <c r="BF160" s="197" t="n">
        <f aca="false">Algae_yield_cost_factor/N160</f>
        <v>0.113561136653868</v>
      </c>
      <c r="BG160" s="197" t="n">
        <f aca="false">Algae_yield_cost_factor/O160</f>
        <v>0.109163115461523</v>
      </c>
      <c r="BH160" s="197" t="n">
        <f aca="false">Algae_yield_cost_factor/P160</f>
        <v>0.103326319790761</v>
      </c>
      <c r="BI160" s="197" t="n">
        <f aca="false">Algae_yield_cost_factor/Q160</f>
        <v>0.0962815743453853</v>
      </c>
      <c r="BJ160" s="197" t="n">
        <f aca="false">Algae_yield_cost_factor/R160</f>
        <v>0.0886911585036309</v>
      </c>
      <c r="BK160" s="197" t="n">
        <f aca="false">Algae_yield_cost_factor/S160</f>
        <v>0.081450451867716</v>
      </c>
      <c r="BL160" s="197" t="n">
        <f aca="false">Algae_yield_cost_factor/T160</f>
        <v>0.0753027675036212</v>
      </c>
      <c r="BM160" s="197" t="n">
        <f aca="false">Algae_yield_cost_factor/U160</f>
        <v>0.0705785923768486</v>
      </c>
      <c r="BN160" s="197" t="n">
        <f aca="false">Algae_yield_cost_factor/V160</f>
        <v>0.067219076523034</v>
      </c>
      <c r="BO160" s="197" t="n">
        <f aca="false">Algae_yield_cost_factor/W160</f>
        <v>0.0649595212753785</v>
      </c>
      <c r="BP160" s="197" t="n">
        <f aca="false">Algae_yield_cost_factor/X160</f>
        <v>0.063496191669969</v>
      </c>
      <c r="BQ160" s="197" t="n">
        <f aca="false">Algae_yield_cost_factor/Y160</f>
        <v>0.0625715951692955</v>
      </c>
      <c r="BR160" s="197" t="n">
        <f aca="false">Algae_yield_cost_factor/Z160</f>
        <v>0.0619964662632252</v>
      </c>
      <c r="BS160" s="197" t="n">
        <f aca="false">Algae_yield_cost_factor/AA160</f>
        <v>0.061642193619267</v>
      </c>
      <c r="BT160" s="197" t="n">
        <f aca="false">Algae_yield_cost_factor/AB160</f>
        <v>0.0614252768974574</v>
      </c>
      <c r="BU160" s="197" t="n">
        <f aca="false">Algae_yield_cost_factor/AC160</f>
        <v>0.0612929511933102</v>
      </c>
    </row>
    <row r="161" customFormat="false" ht="15" hidden="false" customHeight="false" outlineLevel="0" collapsed="false">
      <c r="A161" s="18" t="s">
        <v>715</v>
      </c>
      <c r="B161" s="18" t="s">
        <v>22</v>
      </c>
      <c r="C161" s="18" t="s">
        <v>690</v>
      </c>
      <c r="D161" s="18" t="s">
        <v>690</v>
      </c>
      <c r="E161" s="28" t="n">
        <v>3.628465</v>
      </c>
      <c r="F161" s="185" t="n">
        <f aca="false">E161/$B$2*$F$3/1000</f>
        <v>0.00888973925</v>
      </c>
      <c r="G161" s="18" t="n">
        <f aca="false">LOOKUP(RIGHT(D161,5),Ref!$C$4:$C$21,Ref!$E$4:$E$21)*$G$3</f>
        <v>1.5</v>
      </c>
      <c r="H161" s="218" t="n">
        <f aca="false">$E161</f>
        <v>3.628465</v>
      </c>
      <c r="I161" s="177" t="n">
        <f aca="false">$E161</f>
        <v>3.628465</v>
      </c>
      <c r="J161" s="177" t="n">
        <f aca="false">$E161</f>
        <v>3.628465</v>
      </c>
      <c r="K161" s="177" t="n">
        <f aca="false">$E161</f>
        <v>3.628465</v>
      </c>
      <c r="L161" s="177" t="n">
        <f aca="false">$E161</f>
        <v>3.628465</v>
      </c>
      <c r="M161" s="177" t="n">
        <f aca="false">M$3*$E161</f>
        <v>3.80054812091924</v>
      </c>
      <c r="N161" s="177" t="n">
        <f aca="false">N$3*$E161</f>
        <v>3.90371375117078</v>
      </c>
      <c r="O161" s="177" t="n">
        <f aca="false">O$3*$E161</f>
        <v>4.06098863045498</v>
      </c>
      <c r="P161" s="177" t="n">
        <f aca="false">P$3*$E161</f>
        <v>4.29038962823803</v>
      </c>
      <c r="Q161" s="177" t="n">
        <f aca="false">Q$3*$E161</f>
        <v>4.60430953449128</v>
      </c>
      <c r="R161" s="177" t="n">
        <f aca="false">R$3*$E161</f>
        <v>4.99835810281066</v>
      </c>
      <c r="S161" s="177" t="n">
        <f aca="false">S$3*$E161</f>
        <v>5.4426975</v>
      </c>
      <c r="T161" s="177" t="n">
        <f aca="false">T$3*$E161</f>
        <v>5.88703689718934</v>
      </c>
      <c r="U161" s="177" t="n">
        <f aca="false">U$3*$E161</f>
        <v>6.28108546550872</v>
      </c>
      <c r="V161" s="177" t="n">
        <f aca="false">V$3*$E161</f>
        <v>6.59500537176197</v>
      </c>
      <c r="W161" s="177" t="n">
        <f aca="false">W$3*$E161</f>
        <v>6.82440636954502</v>
      </c>
      <c r="X161" s="177" t="n">
        <f aca="false">X$3*$E161</f>
        <v>6.98168124882922</v>
      </c>
      <c r="Y161" s="177" t="n">
        <f aca="false">Y$3*$E161</f>
        <v>7.08484687908076</v>
      </c>
      <c r="Z161" s="177" t="n">
        <f aca="false">Z$3*$E161</f>
        <v>7.15057159664678</v>
      </c>
      <c r="AA161" s="177" t="n">
        <f aca="false">AA$3*$E161</f>
        <v>7.1916676666699</v>
      </c>
      <c r="AB161" s="177" t="n">
        <f aca="false">AB$3*$E161</f>
        <v>7.21706426320788</v>
      </c>
      <c r="AC161" s="177" t="n">
        <f aca="false">AC$3*$E161</f>
        <v>7.23264522467102</v>
      </c>
      <c r="AD161" s="219" t="n">
        <f aca="false">Algae_electricity_factor/H161</f>
        <v>0.00378771659738464</v>
      </c>
      <c r="AE161" s="220" t="n">
        <f aca="false">Algae_electricity_factor/I161</f>
        <v>0.00378771659738464</v>
      </c>
      <c r="AF161" s="220" t="n">
        <f aca="false">Algae_electricity_factor/J161</f>
        <v>0.00378771659738464</v>
      </c>
      <c r="AG161" s="220" t="n">
        <f aca="false">Algae_electricity_factor/K161</f>
        <v>0.00378771659738464</v>
      </c>
      <c r="AH161" s="220" t="n">
        <f aca="false">Algae_electricity_factor/L161</f>
        <v>0.00378771659738464</v>
      </c>
      <c r="AI161" s="220" t="n">
        <f aca="false">Algae_electricity_factor/M161</f>
        <v>0.0036162144686133</v>
      </c>
      <c r="AJ161" s="220" t="n">
        <f aca="false">Algae_electricity_factor/N161</f>
        <v>0.00352064674296555</v>
      </c>
      <c r="AK161" s="220" t="n">
        <f aca="false">Algae_electricity_factor/O161</f>
        <v>0.00338429834559509</v>
      </c>
      <c r="AL161" s="220" t="n">
        <f aca="false">Algae_electricity_factor/P161</f>
        <v>0.00320334475290382</v>
      </c>
      <c r="AM161" s="220" t="n">
        <f aca="false">Algae_electricity_factor/Q161</f>
        <v>0.00298494204192285</v>
      </c>
      <c r="AN161" s="220" t="n">
        <f aca="false">Algae_electricity_factor/R161</f>
        <v>0.00274962234014426</v>
      </c>
      <c r="AO161" s="220" t="n">
        <f aca="false">Algae_electricity_factor/S161</f>
        <v>0.00252514439825643</v>
      </c>
      <c r="AP161" s="220" t="n">
        <f aca="false">Algae_electricity_factor/T161</f>
        <v>0.00233455256753884</v>
      </c>
      <c r="AQ161" s="220" t="n">
        <f aca="false">Algae_electricity_factor/U161</f>
        <v>0.00218809267585983</v>
      </c>
      <c r="AR161" s="220" t="n">
        <f aca="false">Algae_electricity_factor/V161</f>
        <v>0.00208394024398761</v>
      </c>
      <c r="AS161" s="220" t="n">
        <f aca="false">Algae_electricity_factor/W161</f>
        <v>0.00201388902701665</v>
      </c>
      <c r="AT161" s="220" t="n">
        <f aca="false">Algae_electricity_factor/X161</f>
        <v>0.0019685225683762</v>
      </c>
      <c r="AU161" s="220" t="n">
        <f aca="false">Algae_electricity_factor/Y161</f>
        <v>0.00193985802912828</v>
      </c>
      <c r="AV161" s="220" t="n">
        <f aca="false">Algae_electricity_factor/Z161</f>
        <v>0.0019220277592877</v>
      </c>
      <c r="AW161" s="220" t="n">
        <f aca="false">Algae_electricity_factor/AA161</f>
        <v>0.00191104452270849</v>
      </c>
      <c r="AX161" s="220" t="n">
        <f aca="false">Algae_electricity_factor/AB161</f>
        <v>0.00190431962392149</v>
      </c>
      <c r="AY161" s="220" t="n">
        <f aca="false">Algae_electricity_factor/AC161</f>
        <v>0.00190021723402787</v>
      </c>
      <c r="AZ161" s="221" t="n">
        <f aca="false">Algae_yield_cost_factor/H161</f>
        <v>0.209687187084957</v>
      </c>
      <c r="BA161" s="197" t="n">
        <f aca="false">Algae_yield_cost_factor/I161</f>
        <v>0.209687187084957</v>
      </c>
      <c r="BB161" s="197" t="n">
        <f aca="false">Algae_yield_cost_factor/J161</f>
        <v>0.209687187084957</v>
      </c>
      <c r="BC161" s="197" t="n">
        <f aca="false">Algae_yield_cost_factor/K161</f>
        <v>0.209687187084957</v>
      </c>
      <c r="BD161" s="197" t="n">
        <f aca="false">Algae_yield_cost_factor/L161</f>
        <v>0.209687187084957</v>
      </c>
      <c r="BE161" s="197" t="n">
        <f aca="false">Algae_yield_cost_factor/M161</f>
        <v>0.200192865628601</v>
      </c>
      <c r="BF161" s="197" t="n">
        <f aca="false">Algae_yield_cost_factor/N161</f>
        <v>0.194902256616031</v>
      </c>
      <c r="BG161" s="197" t="n">
        <f aca="false">Algae_yield_cost_factor/O161</f>
        <v>0.187354038270473</v>
      </c>
      <c r="BH161" s="197" t="n">
        <f aca="false">Algae_yield_cost_factor/P161</f>
        <v>0.177336485777092</v>
      </c>
      <c r="BI161" s="197" t="n">
        <f aca="false">Algae_yield_cost_factor/Q161</f>
        <v>0.165245758041826</v>
      </c>
      <c r="BJ161" s="197" t="n">
        <f aca="false">Algae_yield_cost_factor/R161</f>
        <v>0.152218509285756</v>
      </c>
      <c r="BK161" s="197" t="n">
        <f aca="false">Algae_yield_cost_factor/S161</f>
        <v>0.139791458056638</v>
      </c>
      <c r="BL161" s="197" t="n">
        <f aca="false">Algae_yield_cost_factor/T161</f>
        <v>0.129240334751336</v>
      </c>
      <c r="BM161" s="197" t="n">
        <f aca="false">Algae_yield_cost_factor/U161</f>
        <v>0.121132346226497</v>
      </c>
      <c r="BN161" s="197" t="n">
        <f aca="false">Algae_yield_cost_factor/V161</f>
        <v>0.115366489698999</v>
      </c>
      <c r="BO161" s="197" t="n">
        <f aca="false">Algae_yield_cost_factor/W161</f>
        <v>0.111488469192221</v>
      </c>
      <c r="BP161" s="197" t="n">
        <f aca="false">Algae_yield_cost_factor/X161</f>
        <v>0.108976991668562</v>
      </c>
      <c r="BQ161" s="197" t="n">
        <f aca="false">Algae_yield_cost_factor/Y161</f>
        <v>0.107390128858358</v>
      </c>
      <c r="BR161" s="197" t="n">
        <f aca="false">Algae_yield_cost_factor/Z161</f>
        <v>0.106403048903533</v>
      </c>
      <c r="BS161" s="197" t="n">
        <f aca="false">Algae_yield_cost_factor/AA161</f>
        <v>0.10579501925713</v>
      </c>
      <c r="BT161" s="197" t="n">
        <f aca="false">Algae_yield_cost_factor/AB161</f>
        <v>0.105422730287292</v>
      </c>
      <c r="BU161" s="197" t="n">
        <f aca="false">Algae_yield_cost_factor/AC161</f>
        <v>0.105195622853301</v>
      </c>
    </row>
    <row r="162" customFormat="false" ht="15" hidden="false" customHeight="false" outlineLevel="0" collapsed="false">
      <c r="A162" s="18" t="s">
        <v>715</v>
      </c>
      <c r="B162" s="18" t="s">
        <v>22</v>
      </c>
      <c r="C162" s="18" t="s">
        <v>691</v>
      </c>
      <c r="D162" s="18" t="s">
        <v>691</v>
      </c>
      <c r="E162" s="28" t="n">
        <v>4.784566</v>
      </c>
      <c r="F162" s="185" t="n">
        <f aca="false">E162/$B$2*$F$3/1000</f>
        <v>0.0117221867</v>
      </c>
      <c r="G162" s="18" t="n">
        <f aca="false">LOOKUP(RIGHT(D162,5),Ref!$C$4:$C$21,Ref!$E$4:$E$21)*$G$3</f>
        <v>2</v>
      </c>
      <c r="H162" s="218" t="n">
        <f aca="false">$E162</f>
        <v>4.784566</v>
      </c>
      <c r="I162" s="177" t="n">
        <f aca="false">$E162</f>
        <v>4.784566</v>
      </c>
      <c r="J162" s="177" t="n">
        <f aca="false">$E162</f>
        <v>4.784566</v>
      </c>
      <c r="K162" s="177" t="n">
        <f aca="false">$E162</f>
        <v>4.784566</v>
      </c>
      <c r="L162" s="177" t="n">
        <f aca="false">$E162</f>
        <v>4.784566</v>
      </c>
      <c r="M162" s="177" t="n">
        <f aca="false">M$3*$E162</f>
        <v>5.0114782203257</v>
      </c>
      <c r="N162" s="177" t="n">
        <f aca="false">N$3*$E162</f>
        <v>5.14751446895152</v>
      </c>
      <c r="O162" s="177" t="n">
        <f aca="false">O$3*$E162</f>
        <v>5.35490024780767</v>
      </c>
      <c r="P162" s="177" t="n">
        <f aca="false">P$3*$E162</f>
        <v>5.65739295873608</v>
      </c>
      <c r="Q162" s="177" t="n">
        <f aca="false">Q$3*$E162</f>
        <v>6.07133398067855</v>
      </c>
      <c r="R162" s="177" t="n">
        <f aca="false">R$3*$E162</f>
        <v>6.59093424754887</v>
      </c>
      <c r="S162" s="177" t="n">
        <f aca="false">S$3*$E162</f>
        <v>7.176849</v>
      </c>
      <c r="T162" s="177" t="n">
        <f aca="false">T$3*$E162</f>
        <v>7.76276375245113</v>
      </c>
      <c r="U162" s="177" t="n">
        <f aca="false">U$3*$E162</f>
        <v>8.28236401932145</v>
      </c>
      <c r="V162" s="177" t="n">
        <f aca="false">V$3*$E162</f>
        <v>8.69630504126392</v>
      </c>
      <c r="W162" s="177" t="n">
        <f aca="false">W$3*$E162</f>
        <v>8.99879775219232</v>
      </c>
      <c r="X162" s="177" t="n">
        <f aca="false">X$3*$E162</f>
        <v>9.20618353104848</v>
      </c>
      <c r="Y162" s="177" t="n">
        <f aca="false">Y$3*$E162</f>
        <v>9.3422197796743</v>
      </c>
      <c r="Z162" s="177" t="n">
        <f aca="false">Z$3*$E162</f>
        <v>9.42888569736291</v>
      </c>
      <c r="AA162" s="177" t="n">
        <f aca="false">AA$3*$E162</f>
        <v>9.48307579134652</v>
      </c>
      <c r="AB162" s="177" t="n">
        <f aca="false">AB$3*$E162</f>
        <v>9.51656424784571</v>
      </c>
      <c r="AC162" s="177" t="n">
        <f aca="false">AC$3*$E162</f>
        <v>9.5371096130246</v>
      </c>
      <c r="AD162" s="219" t="n">
        <f aca="false">Algae_electricity_factor/H162</f>
        <v>0.00287248563475334</v>
      </c>
      <c r="AE162" s="220" t="n">
        <f aca="false">Algae_electricity_factor/I162</f>
        <v>0.00287248563475334</v>
      </c>
      <c r="AF162" s="220" t="n">
        <f aca="false">Algae_electricity_factor/J162</f>
        <v>0.00287248563475334</v>
      </c>
      <c r="AG162" s="220" t="n">
        <f aca="false">Algae_electricity_factor/K162</f>
        <v>0.00287248563475334</v>
      </c>
      <c r="AH162" s="220" t="n">
        <f aca="false">Algae_electricity_factor/L162</f>
        <v>0.00287248563475334</v>
      </c>
      <c r="AI162" s="220" t="n">
        <f aca="false">Algae_electricity_factor/M162</f>
        <v>0.0027424237918041</v>
      </c>
      <c r="AJ162" s="220" t="n">
        <f aca="false">Algae_electricity_factor/N162</f>
        <v>0.00266994822188982</v>
      </c>
      <c r="AK162" s="220" t="n">
        <f aca="false">Algae_electricity_factor/O162</f>
        <v>0.00256654586780696</v>
      </c>
      <c r="AL162" s="220" t="n">
        <f aca="false">Algae_electricity_factor/P162</f>
        <v>0.00242931633064423</v>
      </c>
      <c r="AM162" s="220" t="n">
        <f aca="false">Algae_electricity_factor/Q162</f>
        <v>0.00226368655509102</v>
      </c>
      <c r="AN162" s="220" t="n">
        <f aca="false">Algae_electricity_factor/R162</f>
        <v>0.00208522746356337</v>
      </c>
      <c r="AO162" s="220" t="n">
        <f aca="false">Algae_electricity_factor/S162</f>
        <v>0.00191499042316889</v>
      </c>
      <c r="AP162" s="220" t="n">
        <f aca="false">Algae_electricity_factor/T162</f>
        <v>0.00177045154816023</v>
      </c>
      <c r="AQ162" s="220" t="n">
        <f aca="false">Algae_electricity_factor/U162</f>
        <v>0.00165938095348956</v>
      </c>
      <c r="AR162" s="220" t="n">
        <f aca="false">Algae_electricity_factor/V162</f>
        <v>0.00158039501125087</v>
      </c>
      <c r="AS162" s="220" t="n">
        <f aca="false">Algae_electricity_factor/W162</f>
        <v>0.00152727036233046</v>
      </c>
      <c r="AT162" s="220" t="n">
        <f aca="false">Algae_electricity_factor/X162</f>
        <v>0.00149286586099202</v>
      </c>
      <c r="AU162" s="220" t="n">
        <f aca="false">Algae_electricity_factor/Y162</f>
        <v>0.00147112757221051</v>
      </c>
      <c r="AV162" s="220" t="n">
        <f aca="false">Algae_electricity_factor/Z162</f>
        <v>0.00145760565401414</v>
      </c>
      <c r="AW162" s="220" t="n">
        <f aca="false">Algae_electricity_factor/AA162</f>
        <v>0.00144927631139156</v>
      </c>
      <c r="AX162" s="220" t="n">
        <f aca="false">Algae_electricity_factor/AB162</f>
        <v>0.00144417635877785</v>
      </c>
      <c r="AY162" s="220" t="n">
        <f aca="false">Algae_electricity_factor/AC162</f>
        <v>0.00144106523477092</v>
      </c>
      <c r="AZ162" s="221" t="n">
        <f aca="false">Algae_yield_cost_factor/H162</f>
        <v>0.159020195203957</v>
      </c>
      <c r="BA162" s="197" t="n">
        <f aca="false">Algae_yield_cost_factor/I162</f>
        <v>0.159020195203957</v>
      </c>
      <c r="BB162" s="197" t="n">
        <f aca="false">Algae_yield_cost_factor/J162</f>
        <v>0.159020195203957</v>
      </c>
      <c r="BC162" s="197" t="n">
        <f aca="false">Algae_yield_cost_factor/K162</f>
        <v>0.159020195203957</v>
      </c>
      <c r="BD162" s="197" t="n">
        <f aca="false">Algae_yield_cost_factor/L162</f>
        <v>0.159020195203957</v>
      </c>
      <c r="BE162" s="197" t="n">
        <f aca="false">Algae_yield_cost_factor/M162</f>
        <v>0.151819999177163</v>
      </c>
      <c r="BF162" s="197" t="n">
        <f aca="false">Algae_yield_cost_factor/N162</f>
        <v>0.147807767005887</v>
      </c>
      <c r="BG162" s="197" t="n">
        <f aca="false">Algae_yield_cost_factor/O162</f>
        <v>0.142083434625642</v>
      </c>
      <c r="BH162" s="197" t="n">
        <f aca="false">Algae_yield_cost_factor/P162</f>
        <v>0.13448643656816</v>
      </c>
      <c r="BI162" s="197" t="n">
        <f aca="false">Algae_yield_cost_factor/Q162</f>
        <v>0.125317207339858</v>
      </c>
      <c r="BJ162" s="197" t="n">
        <f aca="false">Algae_yield_cost_factor/R162</f>
        <v>0.115437749901567</v>
      </c>
      <c r="BK162" s="197" t="n">
        <f aca="false">Algae_yield_cost_factor/S162</f>
        <v>0.106013463469305</v>
      </c>
      <c r="BL162" s="197" t="n">
        <f aca="false">Algae_yield_cost_factor/T162</f>
        <v>0.0980118220196998</v>
      </c>
      <c r="BM162" s="197" t="n">
        <f aca="false">Algae_yield_cost_factor/U162</f>
        <v>0.0918629774677003</v>
      </c>
      <c r="BN162" s="197" t="n">
        <f aca="false">Algae_yield_cost_factor/V162</f>
        <v>0.0874903324660329</v>
      </c>
      <c r="BO162" s="197" t="n">
        <f aca="false">Algae_yield_cost_factor/W162</f>
        <v>0.0845493631747483</v>
      </c>
      <c r="BP162" s="197" t="n">
        <f aca="false">Algae_yield_cost_factor/X162</f>
        <v>0.0826447372812224</v>
      </c>
      <c r="BQ162" s="197" t="n">
        <f aca="false">Algae_yield_cost_factor/Y162</f>
        <v>0.0814413102271014</v>
      </c>
      <c r="BR162" s="197" t="n">
        <f aca="false">Algae_yield_cost_factor/Z162</f>
        <v>0.0806927397050759</v>
      </c>
      <c r="BS162" s="197" t="n">
        <f aca="false">Algae_yield_cost_factor/AA162</f>
        <v>0.0802316290649602</v>
      </c>
      <c r="BT162" s="197" t="n">
        <f aca="false">Algae_yield_cost_factor/AB162</f>
        <v>0.0799492967704654</v>
      </c>
      <c r="BU162" s="197" t="n">
        <f aca="false">Algae_yield_cost_factor/AC162</f>
        <v>0.0797770656056163</v>
      </c>
    </row>
    <row r="163" customFormat="false" ht="15" hidden="false" customHeight="false" outlineLevel="0" collapsed="false">
      <c r="A163" s="18" t="s">
        <v>715</v>
      </c>
      <c r="B163" s="18" t="s">
        <v>22</v>
      </c>
      <c r="C163" s="18" t="s">
        <v>692</v>
      </c>
      <c r="D163" s="18" t="s">
        <v>692</v>
      </c>
      <c r="E163" s="28" t="n">
        <v>4.2002375</v>
      </c>
      <c r="F163" s="185" t="n">
        <f aca="false">E163/$B$2*$F$3/1000</f>
        <v>0.010290581875</v>
      </c>
      <c r="G163" s="18" t="n">
        <f aca="false">LOOKUP(RIGHT(D163,5),Ref!$C$4:$C$21,Ref!$E$4:$E$21)*$G$3</f>
        <v>2.5</v>
      </c>
      <c r="H163" s="218" t="n">
        <f aca="false">$E163</f>
        <v>4.2002375</v>
      </c>
      <c r="I163" s="177" t="n">
        <f aca="false">$E163</f>
        <v>4.2002375</v>
      </c>
      <c r="J163" s="177" t="n">
        <f aca="false">$E163</f>
        <v>4.2002375</v>
      </c>
      <c r="K163" s="177" t="n">
        <f aca="false">$E163</f>
        <v>4.2002375</v>
      </c>
      <c r="L163" s="177" t="n">
        <f aca="false">$E163</f>
        <v>4.2002375</v>
      </c>
      <c r="M163" s="177" t="n">
        <f aca="false">M$3*$E163</f>
        <v>4.39943743099066</v>
      </c>
      <c r="N163" s="177" t="n">
        <f aca="false">N$3*$E163</f>
        <v>4.51885987240698</v>
      </c>
      <c r="O163" s="177" t="n">
        <f aca="false">O$3*$E163</f>
        <v>4.70091808318687</v>
      </c>
      <c r="P163" s="177" t="n">
        <f aca="false">P$3*$E163</f>
        <v>4.9664680260486</v>
      </c>
      <c r="Q163" s="177" t="n">
        <f aca="false">Q$3*$E163</f>
        <v>5.32985534334156</v>
      </c>
      <c r="R163" s="177" t="n">
        <f aca="false">R$3*$E163</f>
        <v>5.78599797486105</v>
      </c>
      <c r="S163" s="177" t="n">
        <f aca="false">S$3*$E163</f>
        <v>6.30035625</v>
      </c>
      <c r="T163" s="177" t="n">
        <f aca="false">T$3*$E163</f>
        <v>6.81471452513895</v>
      </c>
      <c r="U163" s="177" t="n">
        <f aca="false">U$3*$E163</f>
        <v>7.27085715665845</v>
      </c>
      <c r="V163" s="177" t="n">
        <f aca="false">V$3*$E163</f>
        <v>7.6342444739514</v>
      </c>
      <c r="W163" s="177" t="n">
        <f aca="false">W$3*$E163</f>
        <v>7.89979441681313</v>
      </c>
      <c r="X163" s="177" t="n">
        <f aca="false">X$3*$E163</f>
        <v>8.08185262759302</v>
      </c>
      <c r="Y163" s="177" t="n">
        <f aca="false">Y$3*$E163</f>
        <v>8.20127506900934</v>
      </c>
      <c r="Z163" s="177" t="n">
        <f aca="false">Z$3*$E163</f>
        <v>8.2773566691895</v>
      </c>
      <c r="AA163" s="177" t="n">
        <f aca="false">AA$3*$E163</f>
        <v>8.32492864643435</v>
      </c>
      <c r="AB163" s="177" t="n">
        <f aca="false">AB$3*$E163</f>
        <v>8.35432723155263</v>
      </c>
      <c r="AC163" s="177" t="n">
        <f aca="false">AC$3*$E163</f>
        <v>8.37236343656591</v>
      </c>
      <c r="AD163" s="219" t="n">
        <f aca="false">Algae_electricity_factor/H163</f>
        <v>0.00327209999518581</v>
      </c>
      <c r="AE163" s="220" t="n">
        <f aca="false">Algae_electricity_factor/I163</f>
        <v>0.00327209999518581</v>
      </c>
      <c r="AF163" s="220" t="n">
        <f aca="false">Algae_electricity_factor/J163</f>
        <v>0.00327209999518581</v>
      </c>
      <c r="AG163" s="220" t="n">
        <f aca="false">Algae_electricity_factor/K163</f>
        <v>0.00327209999518581</v>
      </c>
      <c r="AH163" s="220" t="n">
        <f aca="false">Algae_electricity_factor/L163</f>
        <v>0.00327209999518581</v>
      </c>
      <c r="AI163" s="220" t="n">
        <f aca="false">Algae_electricity_factor/M163</f>
        <v>0.00312394421312056</v>
      </c>
      <c r="AJ163" s="220" t="n">
        <f aca="false">Algae_electricity_factor/N163</f>
        <v>0.00304138598929573</v>
      </c>
      <c r="AK163" s="220" t="n">
        <f aca="false">Algae_electricity_factor/O163</f>
        <v>0.00292359850997704</v>
      </c>
      <c r="AL163" s="220" t="n">
        <f aca="false">Algae_electricity_factor/P163</f>
        <v>0.00276727787865452</v>
      </c>
      <c r="AM163" s="220" t="n">
        <f aca="false">Algae_electricity_factor/Q163</f>
        <v>0.00257860602552727</v>
      </c>
      <c r="AN163" s="220" t="n">
        <f aca="false">Algae_electricity_factor/R163</f>
        <v>0.00237532006807509</v>
      </c>
      <c r="AO163" s="220" t="n">
        <f aca="false">Algae_electricity_factor/S163</f>
        <v>0.00218139999679054</v>
      </c>
      <c r="AP163" s="220" t="n">
        <f aca="false">Algae_electricity_factor/T163</f>
        <v>0.00201675316740418</v>
      </c>
      <c r="AQ163" s="220" t="n">
        <f aca="false">Algae_electricity_factor/U163</f>
        <v>0.00189023065746014</v>
      </c>
      <c r="AR163" s="220" t="n">
        <f aca="false">Algae_electricity_factor/V163</f>
        <v>0.00180025635155167</v>
      </c>
      <c r="AS163" s="220" t="n">
        <f aca="false">Algae_electricity_factor/W163</f>
        <v>0.00173974110950011</v>
      </c>
      <c r="AT163" s="220" t="n">
        <f aca="false">Algae_electricity_factor/X163</f>
        <v>0.00170055032389553</v>
      </c>
      <c r="AU163" s="220" t="n">
        <f aca="false">Algae_electricity_factor/Y163</f>
        <v>0.0016757878485826</v>
      </c>
      <c r="AV163" s="220" t="n">
        <f aca="false">Algae_electricity_factor/Z163</f>
        <v>0.00166038478862298</v>
      </c>
      <c r="AW163" s="220" t="n">
        <f aca="false">Algae_electricity_factor/AA163</f>
        <v>0.0016508966847921</v>
      </c>
      <c r="AX163" s="220" t="n">
        <f aca="false">Algae_electricity_factor/AB163</f>
        <v>0.0016450872371413</v>
      </c>
      <c r="AY163" s="220" t="n">
        <f aca="false">Algae_electricity_factor/AC163</f>
        <v>0.00164154329988886</v>
      </c>
      <c r="AZ163" s="221" t="n">
        <f aca="false">Algae_yield_cost_factor/H163</f>
        <v>0.181142761400092</v>
      </c>
      <c r="BA163" s="197" t="n">
        <f aca="false">Algae_yield_cost_factor/I163</f>
        <v>0.181142761400092</v>
      </c>
      <c r="BB163" s="197" t="n">
        <f aca="false">Algae_yield_cost_factor/J163</f>
        <v>0.181142761400092</v>
      </c>
      <c r="BC163" s="197" t="n">
        <f aca="false">Algae_yield_cost_factor/K163</f>
        <v>0.181142761400092</v>
      </c>
      <c r="BD163" s="197" t="n">
        <f aca="false">Algae_yield_cost_factor/L163</f>
        <v>0.181142761400092</v>
      </c>
      <c r="BE163" s="197" t="n">
        <f aca="false">Algae_yield_cost_factor/M163</f>
        <v>0.172940888743335</v>
      </c>
      <c r="BF163" s="197" t="n">
        <f aca="false">Algae_yield_cost_factor/N163</f>
        <v>0.16837048299109</v>
      </c>
      <c r="BG163" s="197" t="n">
        <f aca="false">Algae_yield_cost_factor/O163</f>
        <v>0.161849793130286</v>
      </c>
      <c r="BH163" s="197" t="n">
        <f aca="false">Algae_yield_cost_factor/P163</f>
        <v>0.153195916151212</v>
      </c>
      <c r="BI163" s="197" t="n">
        <f aca="false">Algae_yield_cost_factor/Q163</f>
        <v>0.142751082397896</v>
      </c>
      <c r="BJ163" s="197" t="n">
        <f aca="false">Algae_yield_cost_factor/R163</f>
        <v>0.131497214930237</v>
      </c>
      <c r="BK163" s="197" t="n">
        <f aca="false">Algae_yield_cost_factor/S163</f>
        <v>0.120761840933394</v>
      </c>
      <c r="BL163" s="197" t="n">
        <f aca="false">Algae_yield_cost_factor/T163</f>
        <v>0.11164702739631</v>
      </c>
      <c r="BM163" s="197" t="n">
        <f aca="false">Algae_yield_cost_factor/U163</f>
        <v>0.104642768093643</v>
      </c>
      <c r="BN163" s="197" t="n">
        <f aca="false">Algae_yield_cost_factor/V163</f>
        <v>0.0996618096109273</v>
      </c>
      <c r="BO163" s="197" t="n">
        <f aca="false">Algae_yield_cost_factor/W163</f>
        <v>0.0963116986521722</v>
      </c>
      <c r="BP163" s="197" t="n">
        <f aca="false">Algae_yield_cost_factor/X163</f>
        <v>0.0941421050773127</v>
      </c>
      <c r="BQ163" s="197" t="n">
        <f aca="false">Algae_yield_cost_factor/Y163</f>
        <v>0.0927712596985389</v>
      </c>
      <c r="BR163" s="197" t="n">
        <f aca="false">Algae_yield_cost_factor/Z163</f>
        <v>0.0919185495676747</v>
      </c>
      <c r="BS163" s="197" t="n">
        <f aca="false">Algae_yield_cost_factor/AA163</f>
        <v>0.0913932901529546</v>
      </c>
      <c r="BT163" s="197" t="n">
        <f aca="false">Algae_yield_cost_factor/AB163</f>
        <v>0.09107168036376</v>
      </c>
      <c r="BU163" s="197" t="n">
        <f aca="false">Algae_yield_cost_factor/AC163</f>
        <v>0.0908754887494817</v>
      </c>
    </row>
    <row r="164" customFormat="false" ht="15" hidden="false" customHeight="false" outlineLevel="0" collapsed="false">
      <c r="A164" s="18" t="s">
        <v>715</v>
      </c>
      <c r="B164" s="18" t="s">
        <v>22</v>
      </c>
      <c r="C164" s="18" t="s">
        <v>693</v>
      </c>
      <c r="D164" s="18" t="s">
        <v>693</v>
      </c>
      <c r="E164" s="28" t="n">
        <v>5.66890625</v>
      </c>
      <c r="F164" s="185" t="n">
        <f aca="false">E164/$B$2*$F$3/1000</f>
        <v>0.0138888203125</v>
      </c>
      <c r="G164" s="18" t="n">
        <f aca="false">LOOKUP(RIGHT(D164,5),Ref!$C$4:$C$21,Ref!$E$4:$E$21)*$G$3</f>
        <v>3</v>
      </c>
      <c r="H164" s="218" t="n">
        <f aca="false">$E164</f>
        <v>5.66890625</v>
      </c>
      <c r="I164" s="177" t="n">
        <f aca="false">$E164</f>
        <v>5.66890625</v>
      </c>
      <c r="J164" s="177" t="n">
        <f aca="false">$E164</f>
        <v>5.66890625</v>
      </c>
      <c r="K164" s="177" t="n">
        <f aca="false">$E164</f>
        <v>5.66890625</v>
      </c>
      <c r="L164" s="177" t="n">
        <f aca="false">$E164</f>
        <v>5.66890625</v>
      </c>
      <c r="M164" s="177" t="n">
        <f aca="false">M$3*$E164</f>
        <v>5.93775907886802</v>
      </c>
      <c r="N164" s="177" t="n">
        <f aca="false">N$3*$E164</f>
        <v>6.09893916083605</v>
      </c>
      <c r="O164" s="177" t="n">
        <f aca="false">O$3*$E164</f>
        <v>6.34465643966945</v>
      </c>
      <c r="P164" s="177" t="n">
        <f aca="false">P$3*$E164</f>
        <v>6.70305944206538</v>
      </c>
      <c r="Q164" s="177" t="n">
        <f aca="false">Q$3*$E164</f>
        <v>7.19350995448825</v>
      </c>
      <c r="R164" s="177" t="n">
        <f aca="false">R$3*$E164</f>
        <v>7.80914890697899</v>
      </c>
      <c r="S164" s="177" t="n">
        <f aca="false">S$3*$E164</f>
        <v>8.503359375</v>
      </c>
      <c r="T164" s="177" t="n">
        <f aca="false">T$3*$E164</f>
        <v>9.19756984302101</v>
      </c>
      <c r="U164" s="177" t="n">
        <f aca="false">U$3*$E164</f>
        <v>9.81320879551175</v>
      </c>
      <c r="V164" s="177" t="n">
        <f aca="false">V$3*$E164</f>
        <v>10.3036593079346</v>
      </c>
      <c r="W164" s="177" t="n">
        <f aca="false">W$3*$E164</f>
        <v>10.6620623103306</v>
      </c>
      <c r="X164" s="177" t="n">
        <f aca="false">X$3*$E164</f>
        <v>10.9077795891639</v>
      </c>
      <c r="Y164" s="177" t="n">
        <f aca="false">Y$3*$E164</f>
        <v>11.068959671132</v>
      </c>
      <c r="Z164" s="177" t="n">
        <f aca="false">Z$3*$E164</f>
        <v>11.1716442118922</v>
      </c>
      <c r="AA164" s="177" t="n">
        <f aca="false">AA$3*$E164</f>
        <v>11.2358503619321</v>
      </c>
      <c r="AB164" s="177" t="n">
        <f aca="false">AB$3*$E164</f>
        <v>11.275528552253</v>
      </c>
      <c r="AC164" s="177" t="n">
        <f aca="false">AC$3*$E164</f>
        <v>11.299871355565</v>
      </c>
      <c r="AD164" s="219" t="n">
        <f aca="false">Algae_electricity_factor/H164</f>
        <v>0.00242438249945115</v>
      </c>
      <c r="AE164" s="220" t="n">
        <f aca="false">Algae_electricity_factor/I164</f>
        <v>0.00242438249945115</v>
      </c>
      <c r="AF164" s="220" t="n">
        <f aca="false">Algae_electricity_factor/J164</f>
        <v>0.00242438249945115</v>
      </c>
      <c r="AG164" s="220" t="n">
        <f aca="false">Algae_electricity_factor/K164</f>
        <v>0.00242438249945115</v>
      </c>
      <c r="AH164" s="220" t="n">
        <f aca="false">Algae_electricity_factor/L164</f>
        <v>0.00242438249945115</v>
      </c>
      <c r="AI164" s="220" t="n">
        <f aca="false">Algae_electricity_factor/M164</f>
        <v>0.00231461009464691</v>
      </c>
      <c r="AJ164" s="220" t="n">
        <f aca="false">Algae_electricity_factor/N164</f>
        <v>0.00225344059697839</v>
      </c>
      <c r="AK164" s="220" t="n">
        <f aca="false">Algae_electricity_factor/O164</f>
        <v>0.00216616884369003</v>
      </c>
      <c r="AL164" s="220" t="n">
        <f aca="false">Algae_electricity_factor/P164</f>
        <v>0.00205034689343207</v>
      </c>
      <c r="AM164" s="220" t="n">
        <f aca="false">Algae_electricity_factor/Q164</f>
        <v>0.00191055509625787</v>
      </c>
      <c r="AN164" s="220" t="n">
        <f aca="false">Algae_electricity_factor/R164</f>
        <v>0.00175993533575044</v>
      </c>
      <c r="AO164" s="220" t="n">
        <f aca="false">Algae_electricity_factor/S164</f>
        <v>0.0016162549996341</v>
      </c>
      <c r="AP164" s="220" t="n">
        <f aca="false">Algae_electricity_factor/T164</f>
        <v>0.00149426395646864</v>
      </c>
      <c r="AQ164" s="220" t="n">
        <f aca="false">Algae_electricity_factor/U164</f>
        <v>0.00140052019578093</v>
      </c>
      <c r="AR164" s="220" t="n">
        <f aca="false">Algae_electricity_factor/V164</f>
        <v>0.00133385593339112</v>
      </c>
      <c r="AS164" s="220" t="n">
        <f aca="false">Algae_electricity_factor/W164</f>
        <v>0.00128901864418978</v>
      </c>
      <c r="AT164" s="220" t="n">
        <f aca="false">Algae_electricity_factor/X164</f>
        <v>0.00125998118968066</v>
      </c>
      <c r="AU164" s="220" t="n">
        <f aca="false">Algae_electricity_factor/Y164</f>
        <v>0.00124163403895786</v>
      </c>
      <c r="AV164" s="220" t="n">
        <f aca="false">Algae_electricity_factor/Z164</f>
        <v>0.00123022151823446</v>
      </c>
      <c r="AW164" s="220" t="n">
        <f aca="false">Algae_electricity_factor/AA164</f>
        <v>0.00122319153965361</v>
      </c>
      <c r="AX164" s="220" t="n">
        <f aca="false">Algae_electricity_factor/AB164</f>
        <v>0.00121888717143846</v>
      </c>
      <c r="AY164" s="220" t="n">
        <f aca="false">Algae_electricity_factor/AC164</f>
        <v>0.00121626137776876</v>
      </c>
      <c r="AZ164" s="221" t="n">
        <f aca="false">Algae_yield_cost_factor/H164</f>
        <v>0.134213300720261</v>
      </c>
      <c r="BA164" s="197" t="n">
        <f aca="false">Algae_yield_cost_factor/I164</f>
        <v>0.134213300720261</v>
      </c>
      <c r="BB164" s="197" t="n">
        <f aca="false">Algae_yield_cost_factor/J164</f>
        <v>0.134213300720261</v>
      </c>
      <c r="BC164" s="197" t="n">
        <f aca="false">Algae_yield_cost_factor/K164</f>
        <v>0.134213300720261</v>
      </c>
      <c r="BD164" s="197" t="n">
        <f aca="false">Algae_yield_cost_factor/L164</f>
        <v>0.134213300720261</v>
      </c>
      <c r="BE164" s="197" t="n">
        <f aca="false">Algae_yield_cost_factor/M164</f>
        <v>0.128136323683794</v>
      </c>
      <c r="BF164" s="197" t="n">
        <f aca="false">Algae_yield_cost_factor/N164</f>
        <v>0.124749993272915</v>
      </c>
      <c r="BG164" s="197" t="n">
        <f aca="false">Algae_yield_cost_factor/O164</f>
        <v>0.119918647529772</v>
      </c>
      <c r="BH164" s="197" t="n">
        <f aca="false">Algae_yield_cost_factor/P164</f>
        <v>0.113506768940689</v>
      </c>
      <c r="BI164" s="197" t="n">
        <f aca="false">Algae_yield_cost_factor/Q164</f>
        <v>0.105767924712679</v>
      </c>
      <c r="BJ164" s="197" t="n">
        <f aca="false">Algae_yield_cost_factor/R164</f>
        <v>0.097429646732214</v>
      </c>
      <c r="BK164" s="197" t="n">
        <f aca="false">Algae_yield_cost_factor/S164</f>
        <v>0.0894755338135074</v>
      </c>
      <c r="BL164" s="197" t="n">
        <f aca="false">Algae_yield_cost_factor/T164</f>
        <v>0.082722135550135</v>
      </c>
      <c r="BM164" s="197" t="n">
        <f aca="false">Algae_yield_cost_factor/U164</f>
        <v>0.0775325008507108</v>
      </c>
      <c r="BN164" s="197" t="n">
        <f aca="false">Algae_yield_cost_factor/V164</f>
        <v>0.0738419814308407</v>
      </c>
      <c r="BO164" s="197" t="n">
        <f aca="false">Algae_yield_cost_factor/W164</f>
        <v>0.071359798615042</v>
      </c>
      <c r="BP164" s="197" t="n">
        <f aca="false">Algae_yield_cost_factor/X164</f>
        <v>0.0697522912951099</v>
      </c>
      <c r="BQ164" s="197" t="n">
        <f aca="false">Algae_yield_cost_factor/Y164</f>
        <v>0.0687365969243259</v>
      </c>
      <c r="BR164" s="197" t="n">
        <f aca="false">Algae_yield_cost_factor/Z164</f>
        <v>0.0681048021987938</v>
      </c>
      <c r="BS164" s="197" t="n">
        <f aca="false">Algae_yield_cost_factor/AA164</f>
        <v>0.0677156240763058</v>
      </c>
      <c r="BT164" s="197" t="n">
        <f aca="false">Algae_yield_cost_factor/AB164</f>
        <v>0.0674773351652938</v>
      </c>
      <c r="BU164" s="197" t="n">
        <f aca="false">Algae_yield_cost_factor/AC164</f>
        <v>0.0673319717849279</v>
      </c>
    </row>
    <row r="165" customFormat="false" ht="15" hidden="false" customHeight="false" outlineLevel="0" collapsed="false">
      <c r="A165" s="18" t="s">
        <v>715</v>
      </c>
      <c r="B165" s="18" t="s">
        <v>22</v>
      </c>
      <c r="C165" s="18" t="s">
        <v>694</v>
      </c>
      <c r="D165" s="18" t="s">
        <v>694</v>
      </c>
      <c r="E165" s="28" t="n">
        <v>6.28238</v>
      </c>
      <c r="F165" s="185" t="n">
        <f aca="false">E165/$B$2*$F$3/1000</f>
        <v>0.015391831</v>
      </c>
      <c r="G165" s="18" t="n">
        <f aca="false">LOOKUP(RIGHT(D165,5),Ref!$C$4:$C$21,Ref!$E$4:$E$21)*$G$3</f>
        <v>3</v>
      </c>
      <c r="H165" s="218" t="n">
        <f aca="false">$E165</f>
        <v>6.28238</v>
      </c>
      <c r="I165" s="177" t="n">
        <f aca="false">$E165</f>
        <v>6.28238</v>
      </c>
      <c r="J165" s="177" t="n">
        <f aca="false">$E165</f>
        <v>6.28238</v>
      </c>
      <c r="K165" s="177" t="n">
        <f aca="false">$E165</f>
        <v>6.28238</v>
      </c>
      <c r="L165" s="177" t="n">
        <f aca="false">$E165</f>
        <v>6.28238</v>
      </c>
      <c r="M165" s="177" t="n">
        <f aca="false">M$3*$E165</f>
        <v>6.58032735713328</v>
      </c>
      <c r="N165" s="177" t="n">
        <f aca="false">N$3*$E165</f>
        <v>6.75894991300186</v>
      </c>
      <c r="O165" s="177" t="n">
        <f aca="false">O$3*$E165</f>
        <v>7.03125805325331</v>
      </c>
      <c r="P165" s="177" t="n">
        <f aca="false">P$3*$E165</f>
        <v>7.42844646225058</v>
      </c>
      <c r="Q165" s="177" t="n">
        <f aca="false">Q$3*$E165</f>
        <v>7.97197220678643</v>
      </c>
      <c r="R165" s="177" t="n">
        <f aca="false">R$3*$E165</f>
        <v>8.65423394684409</v>
      </c>
      <c r="S165" s="177" t="n">
        <f aca="false">S$3*$E165</f>
        <v>9.42357</v>
      </c>
      <c r="T165" s="177" t="n">
        <f aca="false">T$3*$E165</f>
        <v>10.1929060531559</v>
      </c>
      <c r="U165" s="177" t="n">
        <f aca="false">U$3*$E165</f>
        <v>10.8751677932136</v>
      </c>
      <c r="V165" s="177" t="n">
        <f aca="false">V$3*$E165</f>
        <v>11.4186935377494</v>
      </c>
      <c r="W165" s="177" t="n">
        <f aca="false">W$3*$E165</f>
        <v>11.8158819467467</v>
      </c>
      <c r="X165" s="177" t="n">
        <f aca="false">X$3*$E165</f>
        <v>12.0881900869981</v>
      </c>
      <c r="Y165" s="177" t="n">
        <f aca="false">Y$3*$E165</f>
        <v>12.2668126428667</v>
      </c>
      <c r="Z165" s="177" t="n">
        <f aca="false">Z$3*$E165</f>
        <v>12.3806094277723</v>
      </c>
      <c r="AA165" s="177" t="n">
        <f aca="false">AA$3*$E165</f>
        <v>12.4517637942584</v>
      </c>
      <c r="AB165" s="177" t="n">
        <f aca="false">AB$3*$E165</f>
        <v>12.4957358513564</v>
      </c>
      <c r="AC165" s="177" t="n">
        <f aca="false">AC$3*$E165</f>
        <v>12.5227129672103</v>
      </c>
      <c r="AD165" s="219" t="n">
        <f aca="false">Algae_electricity_factor/H165</f>
        <v>0.00218764180191731</v>
      </c>
      <c r="AE165" s="220" t="n">
        <f aca="false">Algae_electricity_factor/I165</f>
        <v>0.00218764180191731</v>
      </c>
      <c r="AF165" s="220" t="n">
        <f aca="false">Algae_electricity_factor/J165</f>
        <v>0.00218764180191731</v>
      </c>
      <c r="AG165" s="220" t="n">
        <f aca="false">Algae_electricity_factor/K165</f>
        <v>0.00218764180191731</v>
      </c>
      <c r="AH165" s="220" t="n">
        <f aca="false">Algae_electricity_factor/L165</f>
        <v>0.00218764180191731</v>
      </c>
      <c r="AI165" s="220" t="n">
        <f aca="false">Algae_electricity_factor/M165</f>
        <v>0.0020885886609624</v>
      </c>
      <c r="AJ165" s="220" t="n">
        <f aca="false">Algae_electricity_factor/N165</f>
        <v>0.00203339235834421</v>
      </c>
      <c r="AK165" s="220" t="n">
        <f aca="false">Algae_electricity_factor/O165</f>
        <v>0.00195464268263774</v>
      </c>
      <c r="AL165" s="220" t="n">
        <f aca="false">Algae_electricity_factor/P165</f>
        <v>0.00185013073371002</v>
      </c>
      <c r="AM165" s="220" t="n">
        <f aca="false">Algae_electricity_factor/Q165</f>
        <v>0.00172398959091071</v>
      </c>
      <c r="AN165" s="220" t="n">
        <f aca="false">Algae_electricity_factor/R165</f>
        <v>0.00158807783426528</v>
      </c>
      <c r="AO165" s="220" t="n">
        <f aca="false">Algae_electricity_factor/S165</f>
        <v>0.00145842786794487</v>
      </c>
      <c r="AP165" s="220" t="n">
        <f aca="false">Algae_electricity_factor/T165</f>
        <v>0.00134834923738692</v>
      </c>
      <c r="AQ165" s="220" t="n">
        <f aca="false">Algae_electricity_factor/U165</f>
        <v>0.0012637595451268</v>
      </c>
      <c r="AR165" s="220" t="n">
        <f aca="false">Algae_electricity_factor/V165</f>
        <v>0.00120360504098773</v>
      </c>
      <c r="AS165" s="220" t="n">
        <f aca="false">Algae_electricity_factor/W165</f>
        <v>0.0011631461083879</v>
      </c>
      <c r="AT165" s="220" t="n">
        <f aca="false">Algae_electricity_factor/X165</f>
        <v>0.00113694415827491</v>
      </c>
      <c r="AU165" s="220" t="n">
        <f aca="false">Algae_electricity_factor/Y165</f>
        <v>0.00112038860490148</v>
      </c>
      <c r="AV165" s="220" t="n">
        <f aca="false">Algae_electricity_factor/Z165</f>
        <v>0.00111009051563322</v>
      </c>
      <c r="AW165" s="220" t="n">
        <f aca="false">Algae_electricity_factor/AA165</f>
        <v>0.0011037470137256</v>
      </c>
      <c r="AX165" s="220" t="n">
        <f aca="false">Algae_electricity_factor/AB165</f>
        <v>0.00109986296661652</v>
      </c>
      <c r="AY165" s="220" t="n">
        <f aca="false">Algae_electricity_factor/AC165</f>
        <v>0.00109749358142407</v>
      </c>
      <c r="AZ165" s="221" t="n">
        <f aca="false">Algae_yield_cost_factor/H165</f>
        <v>0.121107385940713</v>
      </c>
      <c r="BA165" s="197" t="n">
        <f aca="false">Algae_yield_cost_factor/I165</f>
        <v>0.121107385940713</v>
      </c>
      <c r="BB165" s="197" t="n">
        <f aca="false">Algae_yield_cost_factor/J165</f>
        <v>0.121107385940713</v>
      </c>
      <c r="BC165" s="197" t="n">
        <f aca="false">Algae_yield_cost_factor/K165</f>
        <v>0.121107385940713</v>
      </c>
      <c r="BD165" s="197" t="n">
        <f aca="false">Algae_yield_cost_factor/L165</f>
        <v>0.121107385940713</v>
      </c>
      <c r="BE165" s="197" t="n">
        <f aca="false">Algae_yield_cost_factor/M165</f>
        <v>0.115623825076338</v>
      </c>
      <c r="BF165" s="197" t="n">
        <f aca="false">Algae_yield_cost_factor/N165</f>
        <v>0.112568169475945</v>
      </c>
      <c r="BG165" s="197" t="n">
        <f aca="false">Algae_yield_cost_factor/O165</f>
        <v>0.108208604139366</v>
      </c>
      <c r="BH165" s="197" t="n">
        <f aca="false">Algae_yield_cost_factor/P165</f>
        <v>0.102422844823964</v>
      </c>
      <c r="BI165" s="197" t="n">
        <f aca="false">Algae_yield_cost_factor/Q165</f>
        <v>0.0954396979255049</v>
      </c>
      <c r="BJ165" s="197" t="n">
        <f aca="false">Algae_yield_cost_factor/R165</f>
        <v>0.0879156519178305</v>
      </c>
      <c r="BK165" s="197" t="n">
        <f aca="false">Algae_yield_cost_factor/S165</f>
        <v>0.0807382572938088</v>
      </c>
      <c r="BL165" s="197" t="n">
        <f aca="false">Algae_yield_cost_factor/T165</f>
        <v>0.0746443276645964</v>
      </c>
      <c r="BM165" s="197" t="n">
        <f aca="false">Algae_yield_cost_factor/U165</f>
        <v>0.0699614602508484</v>
      </c>
      <c r="BN165" s="197" t="n">
        <f aca="false">Algae_yield_cost_factor/V165</f>
        <v>0.0666313196663807</v>
      </c>
      <c r="BO165" s="197" t="n">
        <f aca="false">Algae_yield_cost_factor/W165</f>
        <v>0.0643915217429625</v>
      </c>
      <c r="BP165" s="197" t="n">
        <f aca="false">Algae_yield_cost_factor/X165</f>
        <v>0.0629409873447116</v>
      </c>
      <c r="BQ165" s="197" t="n">
        <f aca="false">Algae_yield_cost_factor/Y165</f>
        <v>0.0620244754230151</v>
      </c>
      <c r="BR165" s="197" t="n">
        <f aca="false">Algae_yield_cost_factor/Z165</f>
        <v>0.0614543753863593</v>
      </c>
      <c r="BS165" s="197" t="n">
        <f aca="false">Algae_yield_cost_factor/AA165</f>
        <v>0.0611032004668327</v>
      </c>
      <c r="BT165" s="197" t="n">
        <f aca="false">Algae_yield_cost_factor/AB165</f>
        <v>0.0608881804430612</v>
      </c>
      <c r="BU165" s="197" t="n">
        <f aca="false">Algae_yield_cost_factor/AC165</f>
        <v>0.0607570117815862</v>
      </c>
    </row>
    <row r="166" customFormat="false" ht="15" hidden="false" customHeight="false" outlineLevel="0" collapsed="false">
      <c r="A166" s="18" t="s">
        <v>715</v>
      </c>
      <c r="B166" s="18" t="s">
        <v>22</v>
      </c>
      <c r="C166" s="18" t="s">
        <v>682</v>
      </c>
      <c r="D166" s="18" t="s">
        <v>682</v>
      </c>
      <c r="E166" s="28" t="n">
        <v>6.304645</v>
      </c>
      <c r="F166" s="185" t="n">
        <f aca="false">E166/$B$2*$F$3/1000</f>
        <v>0.01544638025</v>
      </c>
      <c r="G166" s="18" t="n">
        <f aca="false">LOOKUP(RIGHT(D166,5),Ref!$C$4:$C$21,Ref!$E$4:$E$21)*$G$3</f>
        <v>3</v>
      </c>
      <c r="H166" s="218" t="n">
        <f aca="false">$E166</f>
        <v>6.304645</v>
      </c>
      <c r="I166" s="177" t="n">
        <f aca="false">$E166</f>
        <v>6.304645</v>
      </c>
      <c r="J166" s="177" t="n">
        <f aca="false">$E166</f>
        <v>6.304645</v>
      </c>
      <c r="K166" s="177" t="n">
        <f aca="false">$E166</f>
        <v>6.304645</v>
      </c>
      <c r="L166" s="177" t="n">
        <f aca="false">$E166</f>
        <v>6.304645</v>
      </c>
      <c r="M166" s="177" t="n">
        <f aca="false">M$3*$E166</f>
        <v>6.60364829419958</v>
      </c>
      <c r="N166" s="177" t="n">
        <f aca="false">N$3*$E166</f>
        <v>6.78290389538003</v>
      </c>
      <c r="O166" s="177" t="n">
        <f aca="false">O$3*$E166</f>
        <v>7.05617710631213</v>
      </c>
      <c r="P166" s="177" t="n">
        <f aca="false">P$3*$E166</f>
        <v>7.45477316653813</v>
      </c>
      <c r="Q166" s="177" t="n">
        <f aca="false">Q$3*$E166</f>
        <v>8.00022518753323</v>
      </c>
      <c r="R166" s="177" t="n">
        <f aca="false">R$3*$E166</f>
        <v>8.68490488983488</v>
      </c>
      <c r="S166" s="177" t="n">
        <f aca="false">S$3*$E166</f>
        <v>9.4569675</v>
      </c>
      <c r="T166" s="177" t="n">
        <f aca="false">T$3*$E166</f>
        <v>10.2290301101651</v>
      </c>
      <c r="U166" s="177" t="n">
        <f aca="false">U$3*$E166</f>
        <v>10.9137098124668</v>
      </c>
      <c r="V166" s="177" t="n">
        <f aca="false">V$3*$E166</f>
        <v>11.4591618334619</v>
      </c>
      <c r="W166" s="177" t="n">
        <f aca="false">W$3*$E166</f>
        <v>11.8577578936879</v>
      </c>
      <c r="X166" s="177" t="n">
        <f aca="false">X$3*$E166</f>
        <v>12.13103110462</v>
      </c>
      <c r="Y166" s="177" t="n">
        <f aca="false">Y$3*$E166</f>
        <v>12.3102867058004</v>
      </c>
      <c r="Z166" s="177" t="n">
        <f aca="false">Z$3*$E166</f>
        <v>12.4244867909546</v>
      </c>
      <c r="AA166" s="177" t="n">
        <f aca="false">AA$3*$E166</f>
        <v>12.4958933312936</v>
      </c>
      <c r="AB166" s="177" t="n">
        <f aca="false">AB$3*$E166</f>
        <v>12.5400212270787</v>
      </c>
      <c r="AC166" s="177" t="n">
        <f aca="false">AC$3*$E166</f>
        <v>12.5670939508845</v>
      </c>
      <c r="AD166" s="219" t="n">
        <f aca="false">Algae_electricity_factor/H166</f>
        <v>0.00217991609417013</v>
      </c>
      <c r="AE166" s="220" t="n">
        <f aca="false">Algae_electricity_factor/I166</f>
        <v>0.00217991609417013</v>
      </c>
      <c r="AF166" s="220" t="n">
        <f aca="false">Algae_electricity_factor/J166</f>
        <v>0.00217991609417013</v>
      </c>
      <c r="AG166" s="220" t="n">
        <f aca="false">Algae_electricity_factor/K166</f>
        <v>0.00217991609417013</v>
      </c>
      <c r="AH166" s="220" t="n">
        <f aca="false">Algae_electricity_factor/L166</f>
        <v>0.00217991609417013</v>
      </c>
      <c r="AI166" s="220" t="n">
        <f aca="false">Algae_electricity_factor/M166</f>
        <v>0.0020812127616792</v>
      </c>
      <c r="AJ166" s="220" t="n">
        <f aca="false">Algae_electricity_factor/N166</f>
        <v>0.00202621138608352</v>
      </c>
      <c r="AK166" s="220" t="n">
        <f aca="false">Algae_electricity_factor/O166</f>
        <v>0.00194773981668273</v>
      </c>
      <c r="AL166" s="220" t="n">
        <f aca="false">Algae_electricity_factor/P166</f>
        <v>0.00184359695412591</v>
      </c>
      <c r="AM166" s="220" t="n">
        <f aca="false">Algae_electricity_factor/Q166</f>
        <v>0.00171790128169716</v>
      </c>
      <c r="AN166" s="220" t="n">
        <f aca="false">Algae_electricity_factor/R166</f>
        <v>0.00158246950057165</v>
      </c>
      <c r="AO166" s="220" t="n">
        <f aca="false">Algae_electricity_factor/S166</f>
        <v>0.00145327739611342</v>
      </c>
      <c r="AP166" s="220" t="n">
        <f aca="false">Algae_electricity_factor/T166</f>
        <v>0.00134358751079162</v>
      </c>
      <c r="AQ166" s="220" t="n">
        <f aca="false">Algae_electricity_factor/U166</f>
        <v>0.00125929654899106</v>
      </c>
      <c r="AR166" s="220" t="n">
        <f aca="false">Algae_electricity_factor/V166</f>
        <v>0.00119935448187813</v>
      </c>
      <c r="AS166" s="220" t="n">
        <f aca="false">Algae_electricity_factor/W166</f>
        <v>0.00115903843093687</v>
      </c>
      <c r="AT166" s="220" t="n">
        <f aca="false">Algae_electricity_factor/X166</f>
        <v>0.00113292901361824</v>
      </c>
      <c r="AU166" s="220" t="n">
        <f aca="false">Algae_electricity_factor/Y166</f>
        <v>0.00111643192656541</v>
      </c>
      <c r="AV166" s="220" t="n">
        <f aca="false">Algae_electricity_factor/Z166</f>
        <v>0.00110617020523817</v>
      </c>
      <c r="AW166" s="220" t="n">
        <f aca="false">Algae_electricity_factor/AA166</f>
        <v>0.00109984910555463</v>
      </c>
      <c r="AX166" s="220" t="n">
        <f aca="false">Algae_electricity_factor/AB166</f>
        <v>0.00109597877504797</v>
      </c>
      <c r="AY166" s="220" t="n">
        <f aca="false">Algae_electricity_factor/AC166</f>
        <v>0.00109361775739426</v>
      </c>
      <c r="AZ166" s="221" t="n">
        <f aca="false">Algae_yield_cost_factor/H166</f>
        <v>0.12067969239921</v>
      </c>
      <c r="BA166" s="197" t="n">
        <f aca="false">Algae_yield_cost_factor/I166</f>
        <v>0.12067969239921</v>
      </c>
      <c r="BB166" s="197" t="n">
        <f aca="false">Algae_yield_cost_factor/J166</f>
        <v>0.12067969239921</v>
      </c>
      <c r="BC166" s="197" t="n">
        <f aca="false">Algae_yield_cost_factor/K166</f>
        <v>0.12067969239921</v>
      </c>
      <c r="BD166" s="197" t="n">
        <f aca="false">Algae_yield_cost_factor/L166</f>
        <v>0.12067969239921</v>
      </c>
      <c r="BE166" s="197" t="n">
        <f aca="false">Algae_yield_cost_factor/M166</f>
        <v>0.115215496857172</v>
      </c>
      <c r="BF166" s="197" t="n">
        <f aca="false">Algae_yield_cost_factor/N166</f>
        <v>0.112170632375382</v>
      </c>
      <c r="BG166" s="197" t="n">
        <f aca="false">Algae_yield_cost_factor/O166</f>
        <v>0.107826462944872</v>
      </c>
      <c r="BH166" s="197" t="n">
        <f aca="false">Algae_yield_cost_factor/P166</f>
        <v>0.102061136172644</v>
      </c>
      <c r="BI166" s="197" t="n">
        <f aca="false">Algae_yield_cost_factor/Q166</f>
        <v>0.0951026504193707</v>
      </c>
      <c r="BJ166" s="197" t="n">
        <f aca="false">Algae_yield_cost_factor/R166</f>
        <v>0.0876051757546285</v>
      </c>
      <c r="BK166" s="197" t="n">
        <f aca="false">Algae_yield_cost_factor/S166</f>
        <v>0.0804531282661401</v>
      </c>
      <c r="BL166" s="197" t="n">
        <f aca="false">Algae_yield_cost_factor/T166</f>
        <v>0.07438071949071</v>
      </c>
      <c r="BM166" s="197" t="n">
        <f aca="false">Algae_yield_cost_factor/U166</f>
        <v>0.0697143897318128</v>
      </c>
      <c r="BN166" s="197" t="n">
        <f aca="false">Algae_yield_cost_factor/V166</f>
        <v>0.0663960096160334</v>
      </c>
      <c r="BO166" s="197" t="n">
        <f aca="false">Algae_yield_cost_factor/W166</f>
        <v>0.0641641215909148</v>
      </c>
      <c r="BP166" s="197" t="n">
        <f aca="false">Algae_yield_cost_factor/X166</f>
        <v>0.062718709788524</v>
      </c>
      <c r="BQ166" s="197" t="n">
        <f aca="false">Algae_yield_cost_factor/Y166</f>
        <v>0.0618054345499297</v>
      </c>
      <c r="BR166" s="197" t="n">
        <f aca="false">Algae_yield_cost_factor/Z166</f>
        <v>0.061237347834772</v>
      </c>
      <c r="BS166" s="197" t="n">
        <f aca="false">Algae_yield_cost_factor/AA166</f>
        <v>0.0608874130976162</v>
      </c>
      <c r="BT166" s="197" t="n">
        <f aca="false">Algae_yield_cost_factor/AB166</f>
        <v>0.0606731524220441</v>
      </c>
      <c r="BU166" s="197" t="n">
        <f aca="false">Algae_yield_cost_factor/AC166</f>
        <v>0.0605424469857385</v>
      </c>
    </row>
    <row r="167" customFormat="false" ht="15" hidden="false" customHeight="false" outlineLevel="0" collapsed="false">
      <c r="A167" s="18" t="s">
        <v>716</v>
      </c>
      <c r="B167" s="18" t="s">
        <v>22</v>
      </c>
      <c r="C167" s="18" t="s">
        <v>690</v>
      </c>
      <c r="D167" s="18" t="s">
        <v>690</v>
      </c>
      <c r="E167" s="28" t="n">
        <v>7.14378</v>
      </c>
      <c r="F167" s="185" t="n">
        <f aca="false">E167/$B$2*$F$3/1000</f>
        <v>0.017502261</v>
      </c>
      <c r="G167" s="18" t="n">
        <f aca="false">LOOKUP(RIGHT(D167,5),Ref!$C$4:$C$21,Ref!$E$4:$E$21)*$G$3</f>
        <v>1.5</v>
      </c>
      <c r="H167" s="218" t="n">
        <f aca="false">$E167</f>
        <v>7.14378</v>
      </c>
      <c r="I167" s="177" t="n">
        <f aca="false">$E167</f>
        <v>7.14378</v>
      </c>
      <c r="J167" s="177" t="n">
        <f aca="false">$E167</f>
        <v>7.14378</v>
      </c>
      <c r="K167" s="177" t="n">
        <f aca="false">$E167</f>
        <v>7.14378</v>
      </c>
      <c r="L167" s="177" t="n">
        <f aca="false">$E167</f>
        <v>7.14378</v>
      </c>
      <c r="M167" s="177" t="n">
        <f aca="false">M$3*$E167</f>
        <v>7.48258000428844</v>
      </c>
      <c r="N167" s="177" t="n">
        <f aca="false">N$3*$E167</f>
        <v>7.68569414927216</v>
      </c>
      <c r="O167" s="177" t="n">
        <f aca="false">O$3*$E167</f>
        <v>7.99533945028316</v>
      </c>
      <c r="P167" s="177" t="n">
        <f aca="false">P$3*$E167</f>
        <v>8.44698780845737</v>
      </c>
      <c r="Q167" s="177" t="n">
        <f aca="false">Q$3*$E167</f>
        <v>9.06503834715454</v>
      </c>
      <c r="R167" s="177" t="n">
        <f aca="false">R$3*$E167</f>
        <v>9.84084747894682</v>
      </c>
      <c r="S167" s="177" t="n">
        <f aca="false">S$3*$E167</f>
        <v>10.71567</v>
      </c>
      <c r="T167" s="177" t="n">
        <f aca="false">T$3*$E167</f>
        <v>11.5904925210532</v>
      </c>
      <c r="U167" s="177" t="n">
        <f aca="false">U$3*$E167</f>
        <v>12.3663016528455</v>
      </c>
      <c r="V167" s="177" t="n">
        <f aca="false">V$3*$E167</f>
        <v>12.9843521915426</v>
      </c>
      <c r="W167" s="177" t="n">
        <f aca="false">W$3*$E167</f>
        <v>13.4360005497168</v>
      </c>
      <c r="X167" s="177" t="n">
        <f aca="false">X$3*$E167</f>
        <v>13.7456458507278</v>
      </c>
      <c r="Y167" s="177" t="n">
        <f aca="false">Y$3*$E167</f>
        <v>13.9487599957116</v>
      </c>
      <c r="Z167" s="177" t="n">
        <f aca="false">Z$3*$E167</f>
        <v>14.0781598722031</v>
      </c>
      <c r="AA167" s="177" t="n">
        <f aca="false">AA$3*$E167</f>
        <v>14.159070472997</v>
      </c>
      <c r="AB167" s="177" t="n">
        <f aca="false">AB$3*$E167</f>
        <v>14.2090716989744</v>
      </c>
      <c r="AC167" s="177" t="n">
        <f aca="false">AC$3*$E167</f>
        <v>14.2397477454241</v>
      </c>
      <c r="AD167" s="219" t="n">
        <f aca="false">Algae_electricity_factor/H167</f>
        <v>0.00192385503242391</v>
      </c>
      <c r="AE167" s="220" t="n">
        <f aca="false">Algae_electricity_factor/I167</f>
        <v>0.00192385503242391</v>
      </c>
      <c r="AF167" s="220" t="n">
        <f aca="false">Algae_electricity_factor/J167</f>
        <v>0.00192385503242391</v>
      </c>
      <c r="AG167" s="220" t="n">
        <f aca="false">Algae_electricity_factor/K167</f>
        <v>0.00192385503242391</v>
      </c>
      <c r="AH167" s="220" t="n">
        <f aca="false">Algae_electricity_factor/L167</f>
        <v>0.00192385503242391</v>
      </c>
      <c r="AI167" s="220" t="n">
        <f aca="false">Algae_electricity_factor/M167</f>
        <v>0.00183674576090767</v>
      </c>
      <c r="AJ167" s="220" t="n">
        <f aca="false">Algae_electricity_factor/N167</f>
        <v>0.00178820505169735</v>
      </c>
      <c r="AK167" s="220" t="n">
        <f aca="false">Algae_electricity_factor/O167</f>
        <v>0.00171895104504194</v>
      </c>
      <c r="AL167" s="220" t="n">
        <f aca="false">Algae_electricity_factor/P167</f>
        <v>0.00162704119091646</v>
      </c>
      <c r="AM167" s="220" t="n">
        <f aca="false">Algae_electricity_factor/Q167</f>
        <v>0.00151611020022252</v>
      </c>
      <c r="AN167" s="220" t="n">
        <f aca="false">Algae_electricity_factor/R167</f>
        <v>0.00139658674041355</v>
      </c>
      <c r="AO167" s="220" t="n">
        <f aca="false">Algae_electricity_factor/S167</f>
        <v>0.00128257002161594</v>
      </c>
      <c r="AP167" s="220" t="n">
        <f aca="false">Algae_electricity_factor/T167</f>
        <v>0.00118576471867482</v>
      </c>
      <c r="AQ167" s="220" t="n">
        <f aca="false">Algae_electricity_factor/U167</f>
        <v>0.00111137488712051</v>
      </c>
      <c r="AR167" s="220" t="n">
        <f aca="false">Algae_electricity_factor/V167</f>
        <v>0.00105847383841615</v>
      </c>
      <c r="AS167" s="220" t="n">
        <f aca="false">Algae_electricity_factor/W167</f>
        <v>0.0010228934609428</v>
      </c>
      <c r="AT167" s="220" t="n">
        <f aca="false">Algae_electricity_factor/X167</f>
        <v>0.000999850953005713</v>
      </c>
      <c r="AU167" s="220" t="n">
        <f aca="false">Algae_electricity_factor/Y167</f>
        <v>0.000985291675228094</v>
      </c>
      <c r="AV167" s="220" t="n">
        <f aca="false">Algae_electricity_factor/Z167</f>
        <v>0.000976235333899397</v>
      </c>
      <c r="AW167" s="220" t="n">
        <f aca="false">Algae_electricity_factor/AA167</f>
        <v>0.000970656734122476</v>
      </c>
      <c r="AX167" s="220" t="n">
        <f aca="false">Algae_electricity_factor/AB167</f>
        <v>0.000967241027049025</v>
      </c>
      <c r="AY167" s="220" t="n">
        <f aca="false">Algae_electricity_factor/AC167</f>
        <v>0.000965157343320615</v>
      </c>
      <c r="AZ167" s="221" t="n">
        <f aca="false">Algae_yield_cost_factor/H167</f>
        <v>0.106504206356609</v>
      </c>
      <c r="BA167" s="197" t="n">
        <f aca="false">Algae_yield_cost_factor/I167</f>
        <v>0.106504206356609</v>
      </c>
      <c r="BB167" s="197" t="n">
        <f aca="false">Algae_yield_cost_factor/J167</f>
        <v>0.106504206356609</v>
      </c>
      <c r="BC167" s="197" t="n">
        <f aca="false">Algae_yield_cost_factor/K167</f>
        <v>0.106504206356609</v>
      </c>
      <c r="BD167" s="197" t="n">
        <f aca="false">Algae_yield_cost_factor/L167</f>
        <v>0.106504206356609</v>
      </c>
      <c r="BE167" s="197" t="n">
        <f aca="false">Algae_yield_cost_factor/M167</f>
        <v>0.101681855569892</v>
      </c>
      <c r="BF167" s="197" t="n">
        <f aca="false">Algae_yield_cost_factor/N167</f>
        <v>0.098994652208255</v>
      </c>
      <c r="BG167" s="197" t="n">
        <f aca="false">Algae_yield_cost_factor/O167</f>
        <v>0.0951607650953796</v>
      </c>
      <c r="BH167" s="197" t="n">
        <f aca="false">Algae_yield_cost_factor/P167</f>
        <v>0.0900726550740892</v>
      </c>
      <c r="BI167" s="197" t="n">
        <f aca="false">Algae_yield_cost_factor/Q167</f>
        <v>0.083931538968618</v>
      </c>
      <c r="BJ167" s="197" t="n">
        <f aca="false">Algae_yield_cost_factor/R167</f>
        <v>0.0773147455962446</v>
      </c>
      <c r="BK167" s="197" t="n">
        <f aca="false">Algae_yield_cost_factor/S167</f>
        <v>0.0710028042377395</v>
      </c>
      <c r="BL167" s="197" t="n">
        <f aca="false">Algae_yield_cost_factor/T167</f>
        <v>0.0656436832088204</v>
      </c>
      <c r="BM167" s="197" t="n">
        <f aca="false">Algae_yield_cost_factor/U167</f>
        <v>0.0615254779193543</v>
      </c>
      <c r="BN167" s="197" t="n">
        <f aca="false">Algae_yield_cost_factor/V167</f>
        <v>0.0585968870885829</v>
      </c>
      <c r="BO167" s="197" t="n">
        <f aca="false">Algae_yield_cost_factor/W167</f>
        <v>0.0566271649417469</v>
      </c>
      <c r="BP167" s="197" t="n">
        <f aca="false">Algae_yield_cost_factor/X167</f>
        <v>0.055351536591926</v>
      </c>
      <c r="BQ167" s="197" t="n">
        <f aca="false">Algae_yield_cost_factor/Y167</f>
        <v>0.054545538063608</v>
      </c>
      <c r="BR167" s="197" t="n">
        <f aca="false">Algae_yield_cost_factor/Z167</f>
        <v>0.0540441809293898</v>
      </c>
      <c r="BS167" s="197" t="n">
        <f aca="false">Algae_yield_cost_factor/AA167</f>
        <v>0.0537353508295077</v>
      </c>
      <c r="BT167" s="197" t="n">
        <f aca="false">Algae_yield_cost_factor/AB167</f>
        <v>0.053546258010728</v>
      </c>
      <c r="BU167" s="197" t="n">
        <f aca="false">Algae_yield_cost_factor/AC167</f>
        <v>0.053430905721677</v>
      </c>
    </row>
    <row r="168" customFormat="false" ht="15" hidden="false" customHeight="false" outlineLevel="0" collapsed="false">
      <c r="A168" s="18" t="s">
        <v>716</v>
      </c>
      <c r="B168" s="18" t="s">
        <v>22</v>
      </c>
      <c r="C168" s="18" t="s">
        <v>691</v>
      </c>
      <c r="D168" s="18" t="s">
        <v>691</v>
      </c>
      <c r="E168" s="28" t="n">
        <v>7.04535775</v>
      </c>
      <c r="F168" s="185" t="n">
        <f aca="false">E168/$B$2*$F$3/1000</f>
        <v>0.0172611264875</v>
      </c>
      <c r="G168" s="18" t="n">
        <f aca="false">LOOKUP(RIGHT(D168,5),Ref!$C$4:$C$21,Ref!$E$4:$E$21)*$G$3</f>
        <v>2</v>
      </c>
      <c r="H168" s="218" t="n">
        <f aca="false">$E168</f>
        <v>7.04535775</v>
      </c>
      <c r="I168" s="177" t="n">
        <f aca="false">$E168</f>
        <v>7.04535775</v>
      </c>
      <c r="J168" s="177" t="n">
        <f aca="false">$E168</f>
        <v>7.04535775</v>
      </c>
      <c r="K168" s="177" t="n">
        <f aca="false">$E168</f>
        <v>7.04535775</v>
      </c>
      <c r="L168" s="177" t="n">
        <f aca="false">$E168</f>
        <v>7.04535775</v>
      </c>
      <c r="M168" s="177" t="n">
        <f aca="false">M$3*$E168</f>
        <v>7.37948999314209</v>
      </c>
      <c r="N168" s="177" t="n">
        <f aca="false">N$3*$E168</f>
        <v>7.57980576651356</v>
      </c>
      <c r="O168" s="177" t="n">
        <f aca="false">O$3*$E168</f>
        <v>7.88518498049117</v>
      </c>
      <c r="P168" s="177" t="n">
        <f aca="false">P$3*$E168</f>
        <v>8.33061082794692</v>
      </c>
      <c r="Q168" s="177" t="n">
        <f aca="false">Q$3*$E168</f>
        <v>8.94014627734511</v>
      </c>
      <c r="R168" s="177" t="n">
        <f aca="false">R$3*$E168</f>
        <v>9.7052668268572</v>
      </c>
      <c r="S168" s="177" t="n">
        <f aca="false">S$3*$E168</f>
        <v>10.568036625</v>
      </c>
      <c r="T168" s="177" t="n">
        <f aca="false">T$3*$E168</f>
        <v>11.4308064231428</v>
      </c>
      <c r="U168" s="177" t="n">
        <f aca="false">U$3*$E168</f>
        <v>12.1959269726549</v>
      </c>
      <c r="V168" s="177" t="n">
        <f aca="false">V$3*$E168</f>
        <v>12.8054624220531</v>
      </c>
      <c r="W168" s="177" t="n">
        <f aca="false">W$3*$E168</f>
        <v>13.2508882695088</v>
      </c>
      <c r="X168" s="177" t="n">
        <f aca="false">X$3*$E168</f>
        <v>13.5562674834864</v>
      </c>
      <c r="Y168" s="177" t="n">
        <f aca="false">Y$3*$E168</f>
        <v>13.7565832568579</v>
      </c>
      <c r="Z168" s="177" t="n">
        <f aca="false">Z$3*$E168</f>
        <v>13.8842003479061</v>
      </c>
      <c r="AA168" s="177" t="n">
        <f aca="false">AA$3*$E168</f>
        <v>13.9639962162505</v>
      </c>
      <c r="AB168" s="177" t="n">
        <f aca="false">AB$3*$E168</f>
        <v>14.0133085585887</v>
      </c>
      <c r="AC168" s="177" t="n">
        <f aca="false">AC$3*$E168</f>
        <v>14.043561970871</v>
      </c>
      <c r="AD168" s="219" t="n">
        <f aca="false">Algae_electricity_factor/H168</f>
        <v>0.00195073090554263</v>
      </c>
      <c r="AE168" s="220" t="n">
        <f aca="false">Algae_electricity_factor/I168</f>
        <v>0.00195073090554263</v>
      </c>
      <c r="AF168" s="220" t="n">
        <f aca="false">Algae_electricity_factor/J168</f>
        <v>0.00195073090554263</v>
      </c>
      <c r="AG168" s="220" t="n">
        <f aca="false">Algae_electricity_factor/K168</f>
        <v>0.00195073090554263</v>
      </c>
      <c r="AH168" s="220" t="n">
        <f aca="false">Algae_electricity_factor/L168</f>
        <v>0.00195073090554263</v>
      </c>
      <c r="AI168" s="220" t="n">
        <f aca="false">Algae_electricity_factor/M168</f>
        <v>0.00186240473478539</v>
      </c>
      <c r="AJ168" s="220" t="n">
        <f aca="false">Algae_electricity_factor/N168</f>
        <v>0.00181318592149767</v>
      </c>
      <c r="AK168" s="220" t="n">
        <f aca="false">Algae_electricity_factor/O168</f>
        <v>0.00174296445010896</v>
      </c>
      <c r="AL168" s="220" t="n">
        <f aca="false">Algae_electricity_factor/P168</f>
        <v>0.00164977063355586</v>
      </c>
      <c r="AM168" s="220" t="n">
        <f aca="false">Algae_electricity_factor/Q168</f>
        <v>0.00153728995893013</v>
      </c>
      <c r="AN168" s="220" t="n">
        <f aca="false">Algae_electricity_factor/R168</f>
        <v>0.00141609678010056</v>
      </c>
      <c r="AO168" s="220" t="n">
        <f aca="false">Algae_electricity_factor/S168</f>
        <v>0.00130048727036175</v>
      </c>
      <c r="AP168" s="220" t="n">
        <f aca="false">Algae_electricity_factor/T168</f>
        <v>0.00120232961654429</v>
      </c>
      <c r="AQ168" s="220" t="n">
        <f aca="false">Algae_electricity_factor/U168</f>
        <v>0.00112690057380177</v>
      </c>
      <c r="AR168" s="220" t="n">
        <f aca="false">Algae_electricity_factor/V168</f>
        <v>0.00107326050794234</v>
      </c>
      <c r="AS168" s="220" t="n">
        <f aca="false">Algae_electricity_factor/W168</f>
        <v>0.00103718307965468</v>
      </c>
      <c r="AT168" s="220" t="n">
        <f aca="false">Algae_electricity_factor/X168</f>
        <v>0.00101381867245324</v>
      </c>
      <c r="AU168" s="220" t="n">
        <f aca="false">Algae_electricity_factor/Y168</f>
        <v>0.000999056004453564</v>
      </c>
      <c r="AV168" s="220" t="n">
        <f aca="false">Algae_electricity_factor/Z168</f>
        <v>0.000989873147833243</v>
      </c>
      <c r="AW168" s="220" t="n">
        <f aca="false">Algae_electricity_factor/AA168</f>
        <v>0.000984216616124208</v>
      </c>
      <c r="AX168" s="220" t="n">
        <f aca="false">Algae_electricity_factor/AB168</f>
        <v>0.000980753192300602</v>
      </c>
      <c r="AY168" s="220" t="n">
        <f aca="false">Algae_electricity_factor/AC168</f>
        <v>0.0009786403999239</v>
      </c>
      <c r="AZ168" s="221" t="n">
        <f aca="false">Algae_yield_cost_factor/H168</f>
        <v>0.107992048989452</v>
      </c>
      <c r="BA168" s="197" t="n">
        <f aca="false">Algae_yield_cost_factor/I168</f>
        <v>0.107992048989452</v>
      </c>
      <c r="BB168" s="197" t="n">
        <f aca="false">Algae_yield_cost_factor/J168</f>
        <v>0.107992048989452</v>
      </c>
      <c r="BC168" s="197" t="n">
        <f aca="false">Algae_yield_cost_factor/K168</f>
        <v>0.107992048989452</v>
      </c>
      <c r="BD168" s="197" t="n">
        <f aca="false">Algae_yield_cost_factor/L168</f>
        <v>0.107992048989452</v>
      </c>
      <c r="BE168" s="197" t="n">
        <f aca="false">Algae_yield_cost_factor/M168</f>
        <v>0.103102330918977</v>
      </c>
      <c r="BF168" s="197" t="n">
        <f aca="false">Algae_yield_cost_factor/N168</f>
        <v>0.100377587859508</v>
      </c>
      <c r="BG168" s="197" t="n">
        <f aca="false">Algae_yield_cost_factor/O168</f>
        <v>0.0964901421042915</v>
      </c>
      <c r="BH168" s="197" t="n">
        <f aca="false">Algae_yield_cost_factor/P168</f>
        <v>0.0913309521954619</v>
      </c>
      <c r="BI168" s="197" t="n">
        <f aca="false">Algae_yield_cost_factor/Q168</f>
        <v>0.0851040459163672</v>
      </c>
      <c r="BJ168" s="197" t="n">
        <f aca="false">Algae_yield_cost_factor/R168</f>
        <v>0.078394817253324</v>
      </c>
      <c r="BK168" s="197" t="n">
        <f aca="false">Algae_yield_cost_factor/S168</f>
        <v>0.0719946993263016</v>
      </c>
      <c r="BL168" s="197" t="n">
        <f aca="false">Algae_yield_cost_factor/T168</f>
        <v>0.0665607124398342</v>
      </c>
      <c r="BM168" s="197" t="n">
        <f aca="false">Algae_yield_cost_factor/U168</f>
        <v>0.0623849766395078</v>
      </c>
      <c r="BN168" s="197" t="n">
        <f aca="false">Algae_yield_cost_factor/V168</f>
        <v>0.0594154739758498</v>
      </c>
      <c r="BO168" s="197" t="n">
        <f aca="false">Algae_yield_cost_factor/W168</f>
        <v>0.0574182352014066</v>
      </c>
      <c r="BP168" s="197" t="n">
        <f aca="false">Algae_yield_cost_factor/X168</f>
        <v>0.0561247865766176</v>
      </c>
      <c r="BQ168" s="197" t="n">
        <f aca="false">Algae_yield_cost_factor/Y168</f>
        <v>0.0553075284087656</v>
      </c>
      <c r="BR168" s="197" t="n">
        <f aca="false">Algae_yield_cost_factor/Z168</f>
        <v>0.0547991674148493</v>
      </c>
      <c r="BS168" s="197" t="n">
        <f aca="false">Algae_yield_cost_factor/AA168</f>
        <v>0.0544860230197424</v>
      </c>
      <c r="BT168" s="197" t="n">
        <f aca="false">Algae_yield_cost_factor/AB168</f>
        <v>0.0542942886117995</v>
      </c>
      <c r="BU168" s="197" t="n">
        <f aca="false">Algae_yield_cost_factor/AC168</f>
        <v>0.0541773248741558</v>
      </c>
    </row>
    <row r="169" customFormat="false" ht="15" hidden="false" customHeight="false" outlineLevel="0" collapsed="false">
      <c r="A169" s="18" t="s">
        <v>716</v>
      </c>
      <c r="B169" s="18" t="s">
        <v>22</v>
      </c>
      <c r="C169" s="18" t="s">
        <v>692</v>
      </c>
      <c r="D169" s="18" t="s">
        <v>692</v>
      </c>
      <c r="E169" s="28" t="n">
        <v>6.7493975</v>
      </c>
      <c r="F169" s="185" t="n">
        <f aca="false">E169/$B$2*$F$3/1000</f>
        <v>0.016536023875</v>
      </c>
      <c r="G169" s="18" t="n">
        <f aca="false">LOOKUP(RIGHT(D169,5),Ref!$C$4:$C$21,Ref!$E$4:$E$21)*$G$3</f>
        <v>2.5</v>
      </c>
      <c r="H169" s="218" t="n">
        <f aca="false">$E169</f>
        <v>6.7493975</v>
      </c>
      <c r="I169" s="177" t="n">
        <f aca="false">$E169</f>
        <v>6.7493975</v>
      </c>
      <c r="J169" s="177" t="n">
        <f aca="false">$E169</f>
        <v>6.7493975</v>
      </c>
      <c r="K169" s="177" t="n">
        <f aca="false">$E169</f>
        <v>6.7493975</v>
      </c>
      <c r="L169" s="177" t="n">
        <f aca="false">$E169</f>
        <v>6.7493975</v>
      </c>
      <c r="M169" s="177" t="n">
        <f aca="false">M$3*$E169</f>
        <v>7.06949356985999</v>
      </c>
      <c r="N169" s="177" t="n">
        <f aca="false">N$3*$E169</f>
        <v>7.26139451058993</v>
      </c>
      <c r="O169" s="177" t="n">
        <f aca="false">O$3*$E169</f>
        <v>7.55394540388877</v>
      </c>
      <c r="P169" s="177" t="n">
        <f aca="false">P$3*$E169</f>
        <v>7.98065987431481</v>
      </c>
      <c r="Q169" s="177" t="n">
        <f aca="false">Q$3*$E169</f>
        <v>8.56459005704109</v>
      </c>
      <c r="R169" s="177" t="n">
        <f aca="false">R$3*$E169</f>
        <v>9.29756954613453</v>
      </c>
      <c r="S169" s="177" t="n">
        <f aca="false">S$3*$E169</f>
        <v>10.12409625</v>
      </c>
      <c r="T169" s="177" t="n">
        <f aca="false">T$3*$E169</f>
        <v>10.9506229538655</v>
      </c>
      <c r="U169" s="177" t="n">
        <f aca="false">U$3*$E169</f>
        <v>11.6836024429589</v>
      </c>
      <c r="V169" s="177" t="n">
        <f aca="false">V$3*$E169</f>
        <v>12.2675326256852</v>
      </c>
      <c r="W169" s="177" t="n">
        <f aca="false">W$3*$E169</f>
        <v>12.6942470961112</v>
      </c>
      <c r="X169" s="177" t="n">
        <f aca="false">X$3*$E169</f>
        <v>12.9867979894101</v>
      </c>
      <c r="Y169" s="177" t="n">
        <f aca="false">Y$3*$E169</f>
        <v>13.17869893014</v>
      </c>
      <c r="Z169" s="177" t="n">
        <f aca="false">Z$3*$E169</f>
        <v>13.3009551030474</v>
      </c>
      <c r="AA169" s="177" t="n">
        <f aca="false">AA$3*$E169</f>
        <v>13.3773989194474</v>
      </c>
      <c r="AB169" s="177" t="n">
        <f aca="false">AB$3*$E169</f>
        <v>13.4246397568764</v>
      </c>
      <c r="AC169" s="177" t="n">
        <f aca="false">AC$3*$E169</f>
        <v>13.4536222887038</v>
      </c>
      <c r="AD169" s="219" t="n">
        <f aca="false">Algae_electricity_factor/H169</f>
        <v>0.00203627021575322</v>
      </c>
      <c r="AE169" s="220" t="n">
        <f aca="false">Algae_electricity_factor/I169</f>
        <v>0.00203627021575322</v>
      </c>
      <c r="AF169" s="220" t="n">
        <f aca="false">Algae_electricity_factor/J169</f>
        <v>0.00203627021575322</v>
      </c>
      <c r="AG169" s="220" t="n">
        <f aca="false">Algae_electricity_factor/K169</f>
        <v>0.00203627021575322</v>
      </c>
      <c r="AH169" s="220" t="n">
        <f aca="false">Algae_electricity_factor/L169</f>
        <v>0.00203627021575322</v>
      </c>
      <c r="AI169" s="220" t="n">
        <f aca="false">Algae_electricity_factor/M169</f>
        <v>0.00194407095327501</v>
      </c>
      <c r="AJ169" s="220" t="n">
        <f aca="false">Algae_electricity_factor/N169</f>
        <v>0.00189269390107999</v>
      </c>
      <c r="AK169" s="220" t="n">
        <f aca="false">Algae_electricity_factor/O169</f>
        <v>0.0018193932268102</v>
      </c>
      <c r="AL169" s="220" t="n">
        <f aca="false">Algae_electricity_factor/P169</f>
        <v>0.00172211287286682</v>
      </c>
      <c r="AM169" s="220" t="n">
        <f aca="false">Algae_electricity_factor/Q169</f>
        <v>0.00160469993449721</v>
      </c>
      <c r="AN169" s="220" t="n">
        <f aca="false">Algae_electricity_factor/R169</f>
        <v>0.00147819244968629</v>
      </c>
      <c r="AO169" s="220" t="n">
        <f aca="false">Algae_electricity_factor/S169</f>
        <v>0.00135751347716881</v>
      </c>
      <c r="AP169" s="220" t="n">
        <f aca="false">Algae_electricity_factor/T169</f>
        <v>0.00125505162230774</v>
      </c>
      <c r="AQ169" s="220" t="n">
        <f aca="false">Algae_electricity_factor/U169</f>
        <v>0.00117631502532096</v>
      </c>
      <c r="AR169" s="220" t="n">
        <f aca="false">Algae_electricity_factor/V169</f>
        <v>0.00112032284917291</v>
      </c>
      <c r="AS169" s="220" t="n">
        <f aca="false">Algae_electricity_factor/W169</f>
        <v>0.00108266343009342</v>
      </c>
      <c r="AT169" s="220" t="n">
        <f aca="false">Algae_electricity_factor/X169</f>
        <v>0.00105827449651071</v>
      </c>
      <c r="AU169" s="220" t="n">
        <f aca="false">Algae_electricity_factor/Y169</f>
        <v>0.00104286448733549</v>
      </c>
      <c r="AV169" s="220" t="n">
        <f aca="false">Algae_electricity_factor/Z169</f>
        <v>0.00103327896358213</v>
      </c>
      <c r="AW169" s="220" t="n">
        <f aca="false">Algae_electricity_factor/AA169</f>
        <v>0.00102737439365358</v>
      </c>
      <c r="AX169" s="220" t="n">
        <f aca="false">Algae_electricity_factor/AB169</f>
        <v>0.00102375909912141</v>
      </c>
      <c r="AY169" s="220" t="n">
        <f aca="false">Algae_electricity_factor/AC169</f>
        <v>0.00102155366105892</v>
      </c>
      <c r="AZ169" s="221" t="n">
        <f aca="false">Algae_yield_cost_factor/H169</f>
        <v>0.112727487051432</v>
      </c>
      <c r="BA169" s="197" t="n">
        <f aca="false">Algae_yield_cost_factor/I169</f>
        <v>0.112727487051432</v>
      </c>
      <c r="BB169" s="197" t="n">
        <f aca="false">Algae_yield_cost_factor/J169</f>
        <v>0.112727487051432</v>
      </c>
      <c r="BC169" s="197" t="n">
        <f aca="false">Algae_yield_cost_factor/K169</f>
        <v>0.112727487051432</v>
      </c>
      <c r="BD169" s="197" t="n">
        <f aca="false">Algae_yield_cost_factor/L169</f>
        <v>0.112727487051432</v>
      </c>
      <c r="BE169" s="197" t="n">
        <f aca="false">Algae_yield_cost_factor/M169</f>
        <v>0.107623355445146</v>
      </c>
      <c r="BF169" s="197" t="n">
        <f aca="false">Algae_yield_cost_factor/N169</f>
        <v>0.104779132737743</v>
      </c>
      <c r="BG169" s="197" t="n">
        <f aca="false">Algae_yield_cost_factor/O169</f>
        <v>0.100721222964431</v>
      </c>
      <c r="BH169" s="197" t="n">
        <f aca="false">Algae_yield_cost_factor/P169</f>
        <v>0.0953358032128315</v>
      </c>
      <c r="BI169" s="197" t="n">
        <f aca="false">Algae_yield_cost_factor/Q169</f>
        <v>0.0888358478594917</v>
      </c>
      <c r="BJ169" s="197" t="n">
        <f aca="false">Algae_yield_cost_factor/R169</f>
        <v>0.0818324203450071</v>
      </c>
      <c r="BK169" s="197" t="n">
        <f aca="false">Algae_yield_cost_factor/S169</f>
        <v>0.075151658034288</v>
      </c>
      <c r="BL169" s="197" t="n">
        <f aca="false">Algae_yield_cost_factor/T169</f>
        <v>0.0694793914913898</v>
      </c>
      <c r="BM169" s="197" t="n">
        <f aca="false">Algae_yield_cost_factor/U169</f>
        <v>0.0651205501899577</v>
      </c>
      <c r="BN169" s="197" t="n">
        <f aca="false">Algae_yield_cost_factor/V169</f>
        <v>0.0620208351998348</v>
      </c>
      <c r="BO169" s="197" t="n">
        <f aca="false">Algae_yield_cost_factor/W169</f>
        <v>0.0599360177508515</v>
      </c>
      <c r="BP169" s="197" t="n">
        <f aca="false">Algae_yield_cost_factor/X169</f>
        <v>0.0585858515629979</v>
      </c>
      <c r="BQ169" s="197" t="n">
        <f aca="false">Algae_yield_cost_factor/Y169</f>
        <v>0.0577327567250324</v>
      </c>
      <c r="BR169" s="197" t="n">
        <f aca="false">Algae_yield_cost_factor/Z169</f>
        <v>0.0572021041640763</v>
      </c>
      <c r="BS169" s="197" t="n">
        <f aca="false">Algae_yield_cost_factor/AA169</f>
        <v>0.0568752284257699</v>
      </c>
      <c r="BT169" s="197" t="n">
        <f aca="false">Algae_yield_cost_factor/AB169</f>
        <v>0.0566750864876278</v>
      </c>
      <c r="BU169" s="197" t="n">
        <f aca="false">Algae_yield_cost_factor/AC169</f>
        <v>0.0565529939044783</v>
      </c>
    </row>
    <row r="170" customFormat="false" ht="15" hidden="false" customHeight="false" outlineLevel="0" collapsed="false">
      <c r="A170" s="18" t="s">
        <v>716</v>
      </c>
      <c r="B170" s="18" t="s">
        <v>22</v>
      </c>
      <c r="C170" s="18" t="s">
        <v>693</v>
      </c>
      <c r="D170" s="18" t="s">
        <v>693</v>
      </c>
      <c r="E170" s="28" t="n">
        <v>5.89183</v>
      </c>
      <c r="F170" s="185" t="n">
        <f aca="false">E170/$B$2*$F$3/1000</f>
        <v>0.0144349835</v>
      </c>
      <c r="G170" s="18" t="n">
        <f aca="false">LOOKUP(RIGHT(D170,5),Ref!$C$4:$C$21,Ref!$E$4:$E$21)*$G$3</f>
        <v>3</v>
      </c>
      <c r="H170" s="218" t="n">
        <f aca="false">$E170</f>
        <v>5.89183</v>
      </c>
      <c r="I170" s="177" t="n">
        <f aca="false">$E170</f>
        <v>5.89183</v>
      </c>
      <c r="J170" s="177" t="n">
        <f aca="false">$E170</f>
        <v>5.89183</v>
      </c>
      <c r="K170" s="177" t="n">
        <f aca="false">$E170</f>
        <v>5.89183</v>
      </c>
      <c r="L170" s="177" t="n">
        <f aca="false">$E170</f>
        <v>5.89183</v>
      </c>
      <c r="M170" s="177" t="n">
        <f aca="false">M$3*$E170</f>
        <v>6.17125518236378</v>
      </c>
      <c r="N170" s="177" t="n">
        <f aca="false">N$3*$E170</f>
        <v>6.33877350079456</v>
      </c>
      <c r="O170" s="177" t="n">
        <f aca="false">O$3*$E170</f>
        <v>6.59415335205757</v>
      </c>
      <c r="P170" s="177" t="n">
        <f aca="false">P$3*$E170</f>
        <v>6.966650173928</v>
      </c>
      <c r="Q170" s="177" t="n">
        <f aca="false">Q$3*$E170</f>
        <v>7.47638713467038</v>
      </c>
      <c r="R170" s="177" t="n">
        <f aca="false">R$3*$E170</f>
        <v>8.11623543864498</v>
      </c>
      <c r="S170" s="177" t="n">
        <f aca="false">S$3*$E170</f>
        <v>8.837745</v>
      </c>
      <c r="T170" s="177" t="n">
        <f aca="false">T$3*$E170</f>
        <v>9.55925456135502</v>
      </c>
      <c r="U170" s="177" t="n">
        <f aca="false">U$3*$E170</f>
        <v>10.1991028653296</v>
      </c>
      <c r="V170" s="177" t="n">
        <f aca="false">V$3*$E170</f>
        <v>10.708839826072</v>
      </c>
      <c r="W170" s="177" t="n">
        <f aca="false">W$3*$E170</f>
        <v>11.0813366479424</v>
      </c>
      <c r="X170" s="177" t="n">
        <f aca="false">X$3*$E170</f>
        <v>11.3367164992054</v>
      </c>
      <c r="Y170" s="177" t="n">
        <f aca="false">Y$3*$E170</f>
        <v>11.5042348176362</v>
      </c>
      <c r="Z170" s="177" t="n">
        <f aca="false">Z$3*$E170</f>
        <v>11.6109573194922</v>
      </c>
      <c r="AA170" s="177" t="n">
        <f aca="false">AA$3*$E170</f>
        <v>11.6776883085591</v>
      </c>
      <c r="AB170" s="177" t="n">
        <f aca="false">AB$3*$E170</f>
        <v>11.7189268018008</v>
      </c>
      <c r="AC170" s="177" t="n">
        <f aca="false">AC$3*$E170</f>
        <v>11.7442268601388</v>
      </c>
      <c r="AD170" s="219" t="n">
        <f aca="false">Algae_electricity_factor/H170</f>
        <v>0.00233265336975596</v>
      </c>
      <c r="AE170" s="220" t="n">
        <f aca="false">Algae_electricity_factor/I170</f>
        <v>0.00233265336975596</v>
      </c>
      <c r="AF170" s="220" t="n">
        <f aca="false">Algae_electricity_factor/J170</f>
        <v>0.00233265336975596</v>
      </c>
      <c r="AG170" s="220" t="n">
        <f aca="false">Algae_electricity_factor/K170</f>
        <v>0.00233265336975596</v>
      </c>
      <c r="AH170" s="220" t="n">
        <f aca="false">Algae_electricity_factor/L170</f>
        <v>0.00233265336975596</v>
      </c>
      <c r="AI170" s="220" t="n">
        <f aca="false">Algae_electricity_factor/M170</f>
        <v>0.00222703432241884</v>
      </c>
      <c r="AJ170" s="220" t="n">
        <f aca="false">Algae_electricity_factor/N170</f>
        <v>0.00216817923874493</v>
      </c>
      <c r="AK170" s="220" t="n">
        <f aca="false">Algae_electricity_factor/O170</f>
        <v>0.00208420950647756</v>
      </c>
      <c r="AL170" s="220" t="n">
        <f aca="false">Algae_electricity_factor/P170</f>
        <v>0.00197276980477121</v>
      </c>
      <c r="AM170" s="220" t="n">
        <f aca="false">Algae_electricity_factor/Q170</f>
        <v>0.00183826718118914</v>
      </c>
      <c r="AN170" s="220" t="n">
        <f aca="false">Algae_electricity_factor/R170</f>
        <v>0.0016933462819585</v>
      </c>
      <c r="AO170" s="220" t="n">
        <f aca="false">Algae_electricity_factor/S170</f>
        <v>0.00155510224650397</v>
      </c>
      <c r="AP170" s="220" t="n">
        <f aca="false">Algae_electricity_factor/T170</f>
        <v>0.00143772686618161</v>
      </c>
      <c r="AQ170" s="220" t="n">
        <f aca="false">Algae_electricity_factor/U170</f>
        <v>0.00134753000190327</v>
      </c>
      <c r="AR170" s="220" t="n">
        <f aca="false">Algae_electricity_factor/V170</f>
        <v>0.00128338805386451</v>
      </c>
      <c r="AS170" s="220" t="n">
        <f aca="false">Algae_electricity_factor/W170</f>
        <v>0.00124024723191504</v>
      </c>
      <c r="AT170" s="220" t="n">
        <f aca="false">Algae_electricity_factor/X170</f>
        <v>0.00121230844085168</v>
      </c>
      <c r="AU170" s="220" t="n">
        <f aca="false">Algae_electricity_factor/Y170</f>
        <v>0.00119465547438758</v>
      </c>
      <c r="AV170" s="220" t="n">
        <f aca="false">Algae_electricity_factor/Z170</f>
        <v>0.0011836747587089</v>
      </c>
      <c r="AW170" s="220" t="n">
        <f aca="false">Algae_electricity_factor/AA170</f>
        <v>0.00117691076695856</v>
      </c>
      <c r="AX170" s="220" t="n">
        <f aca="false">Algae_electricity_factor/AB170</f>
        <v>0.00117276925916265</v>
      </c>
      <c r="AY170" s="220" t="n">
        <f aca="false">Algae_electricity_factor/AC170</f>
        <v>0.00117024281523176</v>
      </c>
      <c r="AZ170" s="221" t="n">
        <f aca="false">Algae_yield_cost_factor/H170</f>
        <v>0.129135195565082</v>
      </c>
      <c r="BA170" s="197" t="n">
        <f aca="false">Algae_yield_cost_factor/I170</f>
        <v>0.129135195565082</v>
      </c>
      <c r="BB170" s="197" t="n">
        <f aca="false">Algae_yield_cost_factor/J170</f>
        <v>0.129135195565082</v>
      </c>
      <c r="BC170" s="197" t="n">
        <f aca="false">Algae_yield_cost_factor/K170</f>
        <v>0.129135195565082</v>
      </c>
      <c r="BD170" s="197" t="n">
        <f aca="false">Algae_yield_cost_factor/L170</f>
        <v>0.129135195565082</v>
      </c>
      <c r="BE170" s="197" t="n">
        <f aca="false">Algae_yield_cost_factor/M170</f>
        <v>0.12328814751666</v>
      </c>
      <c r="BF170" s="197" t="n">
        <f aca="false">Algae_yield_cost_factor/N170</f>
        <v>0.120029942573409</v>
      </c>
      <c r="BG170" s="197" t="n">
        <f aca="false">Algae_yield_cost_factor/O170</f>
        <v>0.115381396013305</v>
      </c>
      <c r="BH170" s="197" t="n">
        <f aca="false">Algae_yield_cost_factor/P170</f>
        <v>0.109212117774134</v>
      </c>
      <c r="BI170" s="197" t="n">
        <f aca="false">Algae_yield_cost_factor/Q170</f>
        <v>0.101766081073832</v>
      </c>
      <c r="BJ170" s="197" t="n">
        <f aca="false">Algae_yield_cost_factor/R170</f>
        <v>0.0937432908443624</v>
      </c>
      <c r="BK170" s="197" t="n">
        <f aca="false">Algae_yield_cost_factor/S170</f>
        <v>0.0860901303767214</v>
      </c>
      <c r="BL170" s="197" t="n">
        <f aca="false">Algae_yield_cost_factor/T170</f>
        <v>0.079592254228908</v>
      </c>
      <c r="BM170" s="197" t="n">
        <f aca="false">Algae_yield_cost_factor/U170</f>
        <v>0.0745989749620619</v>
      </c>
      <c r="BN170" s="197" t="n">
        <f aca="false">Algae_yield_cost_factor/V170</f>
        <v>0.0710480903294353</v>
      </c>
      <c r="BO170" s="197" t="n">
        <f aca="false">Algae_yield_cost_factor/W170</f>
        <v>0.0686598235807131</v>
      </c>
      <c r="BP170" s="197" t="n">
        <f aca="false">Algae_yield_cost_factor/X170</f>
        <v>0.0671131380360039</v>
      </c>
      <c r="BQ170" s="197" t="n">
        <f aca="false">Algae_yield_cost_factor/Y170</f>
        <v>0.066135873558477</v>
      </c>
      <c r="BR170" s="197" t="n">
        <f aca="false">Algae_yield_cost_factor/Z170</f>
        <v>0.0655279834685923</v>
      </c>
      <c r="BS170" s="197" t="n">
        <f aca="false">Algae_yield_cost_factor/AA170</f>
        <v>0.0651535303206</v>
      </c>
      <c r="BT170" s="197" t="n">
        <f aca="false">Algae_yield_cost_factor/AB170</f>
        <v>0.0649242573278385</v>
      </c>
      <c r="BU170" s="197" t="n">
        <f aca="false">Algae_yield_cost_factor/AC170</f>
        <v>0.064784393927931</v>
      </c>
    </row>
    <row r="171" customFormat="false" ht="15" hidden="false" customHeight="false" outlineLevel="0" collapsed="false">
      <c r="A171" s="18" t="s">
        <v>716</v>
      </c>
      <c r="B171" s="18" t="s">
        <v>22</v>
      </c>
      <c r="C171" s="18" t="s">
        <v>694</v>
      </c>
      <c r="D171" s="18" t="s">
        <v>694</v>
      </c>
      <c r="E171" s="28" t="n">
        <v>6.3114705</v>
      </c>
      <c r="F171" s="185" t="n">
        <f aca="false">E171/$B$2*$F$3/1000</f>
        <v>0.015463102725</v>
      </c>
      <c r="G171" s="18" t="n">
        <f aca="false">LOOKUP(RIGHT(D171,5),Ref!$C$4:$C$21,Ref!$E$4:$E$21)*$G$3</f>
        <v>3</v>
      </c>
      <c r="H171" s="218" t="n">
        <f aca="false">$E171</f>
        <v>6.3114705</v>
      </c>
      <c r="I171" s="177" t="n">
        <f aca="false">$E171</f>
        <v>6.3114705</v>
      </c>
      <c r="J171" s="177" t="n">
        <f aca="false">$E171</f>
        <v>6.3114705</v>
      </c>
      <c r="K171" s="177" t="n">
        <f aca="false">$E171</f>
        <v>6.3114705</v>
      </c>
      <c r="L171" s="177" t="n">
        <f aca="false">$E171</f>
        <v>6.3114705</v>
      </c>
      <c r="M171" s="177" t="n">
        <f aca="false">M$3*$E171</f>
        <v>6.61079749949695</v>
      </c>
      <c r="N171" s="177" t="n">
        <f aca="false">N$3*$E171</f>
        <v>6.79024716538777</v>
      </c>
      <c r="O171" s="177" t="n">
        <f aca="false">O$3*$E171</f>
        <v>7.0638162258564</v>
      </c>
      <c r="P171" s="177" t="n">
        <f aca="false">P$3*$E171</f>
        <v>7.46284381195087</v>
      </c>
      <c r="Q171" s="177" t="n">
        <f aca="false">Q$3*$E171</f>
        <v>8.0088863472048</v>
      </c>
      <c r="R171" s="177" t="n">
        <f aca="false">R$3*$E171</f>
        <v>8.69430729366977</v>
      </c>
      <c r="S171" s="177" t="n">
        <f aca="false">S$3*$E171</f>
        <v>9.46720575</v>
      </c>
      <c r="T171" s="177" t="n">
        <f aca="false">T$3*$E171</f>
        <v>10.2401042063302</v>
      </c>
      <c r="U171" s="177" t="n">
        <f aca="false">U$3*$E171</f>
        <v>10.9255251527952</v>
      </c>
      <c r="V171" s="177" t="n">
        <f aca="false">V$3*$E171</f>
        <v>11.4715676880491</v>
      </c>
      <c r="W171" s="177" t="n">
        <f aca="false">W$3*$E171</f>
        <v>11.8705952741436</v>
      </c>
      <c r="X171" s="177" t="n">
        <f aca="false">X$3*$E171</f>
        <v>12.1441643346122</v>
      </c>
      <c r="Y171" s="177" t="n">
        <f aca="false">Y$3*$E171</f>
        <v>12.323614000503</v>
      </c>
      <c r="Z171" s="177" t="n">
        <f aca="false">Z$3*$E171</f>
        <v>12.4379377203236</v>
      </c>
      <c r="AA171" s="177" t="n">
        <f aca="false">AA$3*$E171</f>
        <v>12.5094215664175</v>
      </c>
      <c r="AB171" s="177" t="n">
        <f aca="false">AB$3*$E171</f>
        <v>12.5535972357018</v>
      </c>
      <c r="AC171" s="177" t="n">
        <f aca="false">AC$3*$E171</f>
        <v>12.5806992688305</v>
      </c>
      <c r="AD171" s="219" t="n">
        <f aca="false">Algae_electricity_factor/H171</f>
        <v>0.002177558637647</v>
      </c>
      <c r="AE171" s="220" t="n">
        <f aca="false">Algae_electricity_factor/I171</f>
        <v>0.002177558637647</v>
      </c>
      <c r="AF171" s="220" t="n">
        <f aca="false">Algae_electricity_factor/J171</f>
        <v>0.002177558637647</v>
      </c>
      <c r="AG171" s="220" t="n">
        <f aca="false">Algae_electricity_factor/K171</f>
        <v>0.002177558637647</v>
      </c>
      <c r="AH171" s="220" t="n">
        <f aca="false">Algae_electricity_factor/L171</f>
        <v>0.002177558637647</v>
      </c>
      <c r="AI171" s="220" t="n">
        <f aca="false">Algae_electricity_factor/M171</f>
        <v>0.00207896204725301</v>
      </c>
      <c r="AJ171" s="220" t="n">
        <f aca="false">Algae_electricity_factor/N171</f>
        <v>0.00202402015254837</v>
      </c>
      <c r="AK171" s="220" t="n">
        <f aca="false">Algae_electricity_factor/O171</f>
        <v>0.00194563344573181</v>
      </c>
      <c r="AL171" s="220" t="n">
        <f aca="false">Algae_electricity_factor/P171</f>
        <v>0.00184160320781744</v>
      </c>
      <c r="AM171" s="220" t="n">
        <f aca="false">Algae_electricity_factor/Q171</f>
        <v>0.00171604346818156</v>
      </c>
      <c r="AN171" s="220" t="n">
        <f aca="false">Algae_electricity_factor/R171</f>
        <v>0.00158075814890231</v>
      </c>
      <c r="AO171" s="220" t="n">
        <f aca="false">Algae_electricity_factor/S171</f>
        <v>0.00145170575843134</v>
      </c>
      <c r="AP171" s="220" t="n">
        <f aca="false">Algae_electricity_factor/T171</f>
        <v>0.00134213449654479</v>
      </c>
      <c r="AQ171" s="220" t="n">
        <f aca="false">Algae_electricity_factor/U171</f>
        <v>0.00125793469067371</v>
      </c>
      <c r="AR171" s="220" t="n">
        <f aca="false">Algae_electricity_factor/V171</f>
        <v>0.00119805744753152</v>
      </c>
      <c r="AS171" s="220" t="n">
        <f aca="false">Algae_electricity_factor/W171</f>
        <v>0.0011577849961295</v>
      </c>
      <c r="AT171" s="220" t="n">
        <f aca="false">Algae_electricity_factor/X171</f>
        <v>0.0011317038146757</v>
      </c>
      <c r="AU171" s="220" t="n">
        <f aca="false">Algae_electricity_factor/Y171</f>
        <v>0.0011152245682937</v>
      </c>
      <c r="AV171" s="220" t="n">
        <f aca="false">Algae_electricity_factor/Z171</f>
        <v>0.00110497394444034</v>
      </c>
      <c r="AW171" s="220" t="n">
        <f aca="false">Algae_electricity_factor/AA171</f>
        <v>0.00109865968067021</v>
      </c>
      <c r="AX171" s="220" t="n">
        <f aca="false">Algae_electricity_factor/AB171</f>
        <v>0.00109479353570809</v>
      </c>
      <c r="AY171" s="220" t="n">
        <f aca="false">Algae_electricity_factor/AC171</f>
        <v>0.00109243507136205</v>
      </c>
      <c r="AZ171" s="221" t="n">
        <f aca="false">Algae_yield_cost_factor/H171</f>
        <v>0.120549184106337</v>
      </c>
      <c r="BA171" s="197" t="n">
        <f aca="false">Algae_yield_cost_factor/I171</f>
        <v>0.120549184106337</v>
      </c>
      <c r="BB171" s="197" t="n">
        <f aca="false">Algae_yield_cost_factor/J171</f>
        <v>0.120549184106337</v>
      </c>
      <c r="BC171" s="197" t="n">
        <f aca="false">Algae_yield_cost_factor/K171</f>
        <v>0.120549184106337</v>
      </c>
      <c r="BD171" s="197" t="n">
        <f aca="false">Algae_yield_cost_factor/L171</f>
        <v>0.120549184106337</v>
      </c>
      <c r="BE171" s="197" t="n">
        <f aca="false">Algae_yield_cost_factor/M171</f>
        <v>0.115090897784135</v>
      </c>
      <c r="BF171" s="197" t="n">
        <f aca="false">Algae_yield_cost_factor/N171</f>
        <v>0.112049326151851</v>
      </c>
      <c r="BG171" s="197" t="n">
        <f aca="false">Algae_yield_cost_factor/O171</f>
        <v>0.107709854695997</v>
      </c>
      <c r="BH171" s="197" t="n">
        <f aca="false">Algae_yield_cost_factor/P171</f>
        <v>0.101950762800076</v>
      </c>
      <c r="BI171" s="197" t="n">
        <f aca="false">Algae_yield_cost_factor/Q171</f>
        <v>0.0949998022573715</v>
      </c>
      <c r="BJ171" s="197" t="n">
        <f aca="false">Algae_yield_cost_factor/R171</f>
        <v>0.0875104356893596</v>
      </c>
      <c r="BK171" s="197" t="n">
        <f aca="false">Algae_yield_cost_factor/S171</f>
        <v>0.0803661227375583</v>
      </c>
      <c r="BL171" s="197" t="n">
        <f aca="false">Algae_yield_cost_factor/T171</f>
        <v>0.0743002809303327</v>
      </c>
      <c r="BM171" s="197" t="n">
        <f aca="false">Algae_yield_cost_factor/U171</f>
        <v>0.069638997544348</v>
      </c>
      <c r="BN171" s="197" t="n">
        <f aca="false">Algae_yield_cost_factor/V171</f>
        <v>0.0663242060698338</v>
      </c>
      <c r="BO171" s="197" t="n">
        <f aca="false">Algae_yield_cost_factor/W171</f>
        <v>0.0640947317059555</v>
      </c>
      <c r="BP171" s="197" t="n">
        <f aca="false">Algae_yield_cost_factor/X171</f>
        <v>0.0626508830350501</v>
      </c>
      <c r="BQ171" s="197" t="n">
        <f aca="false">Algae_yield_cost_factor/Y171</f>
        <v>0.0617385954522075</v>
      </c>
      <c r="BR171" s="197" t="n">
        <f aca="false">Algae_yield_cost_factor/Z171</f>
        <v>0.061171123090848</v>
      </c>
      <c r="BS171" s="197" t="n">
        <f aca="false">Algae_yield_cost_factor/AA171</f>
        <v>0.0608215667884086</v>
      </c>
      <c r="BT171" s="197" t="n">
        <f aca="false">Algae_yield_cost_factor/AB171</f>
        <v>0.0606075378236939</v>
      </c>
      <c r="BU171" s="197" t="n">
        <f aca="false">Algae_yield_cost_factor/AC171</f>
        <v>0.0604769737379587</v>
      </c>
    </row>
    <row r="172" customFormat="false" ht="15" hidden="false" customHeight="false" outlineLevel="0" collapsed="false">
      <c r="A172" s="18" t="s">
        <v>716</v>
      </c>
      <c r="B172" s="18" t="s">
        <v>22</v>
      </c>
      <c r="C172" s="18" t="s">
        <v>682</v>
      </c>
      <c r="D172" s="18" t="s">
        <v>682</v>
      </c>
      <c r="E172" s="28" t="n">
        <v>6.53632875</v>
      </c>
      <c r="F172" s="185" t="n">
        <f aca="false">E172/$B$2*$F$3/1000</f>
        <v>0.0160140054375</v>
      </c>
      <c r="G172" s="18" t="n">
        <f aca="false">LOOKUP(RIGHT(D172,5),Ref!$C$4:$C$21,Ref!$E$4:$E$21)*$G$3</f>
        <v>3</v>
      </c>
      <c r="H172" s="218" t="n">
        <f aca="false">$E172</f>
        <v>6.53632875</v>
      </c>
      <c r="I172" s="177" t="n">
        <f aca="false">$E172</f>
        <v>6.53632875</v>
      </c>
      <c r="J172" s="177" t="n">
        <f aca="false">$E172</f>
        <v>6.53632875</v>
      </c>
      <c r="K172" s="177" t="n">
        <f aca="false">$E172</f>
        <v>6.53632875</v>
      </c>
      <c r="L172" s="177" t="n">
        <f aca="false">$E172</f>
        <v>6.53632875</v>
      </c>
      <c r="M172" s="177" t="n">
        <f aca="false">M$3*$E172</f>
        <v>6.84631984834438</v>
      </c>
      <c r="N172" s="177" t="n">
        <f aca="false">N$3*$E172</f>
        <v>7.03216275299553</v>
      </c>
      <c r="O172" s="177" t="n">
        <f aca="false">O$3*$E172</f>
        <v>7.31547823629718</v>
      </c>
      <c r="P172" s="177" t="n">
        <f aca="false">P$3*$E172</f>
        <v>7.7287219459893</v>
      </c>
      <c r="Q172" s="177" t="n">
        <f aca="false">Q$3*$E172</f>
        <v>8.29421829456656</v>
      </c>
      <c r="R172" s="177" t="n">
        <f aca="false">R$3*$E172</f>
        <v>9.00405867775955</v>
      </c>
      <c r="S172" s="177" t="n">
        <f aca="false">S$3*$E172</f>
        <v>9.804493125</v>
      </c>
      <c r="T172" s="177" t="n">
        <f aca="false">T$3*$E172</f>
        <v>10.6049275722405</v>
      </c>
      <c r="U172" s="177" t="n">
        <f aca="false">U$3*$E172</f>
        <v>11.3147679554334</v>
      </c>
      <c r="V172" s="177" t="n">
        <f aca="false">V$3*$E172</f>
        <v>11.8802643040107</v>
      </c>
      <c r="W172" s="177" t="n">
        <f aca="false">W$3*$E172</f>
        <v>12.2935080137028</v>
      </c>
      <c r="X172" s="177" t="n">
        <f aca="false">X$3*$E172</f>
        <v>12.5768234970045</v>
      </c>
      <c r="Y172" s="177" t="n">
        <f aca="false">Y$3*$E172</f>
        <v>12.7626664016556</v>
      </c>
      <c r="Z172" s="177" t="n">
        <f aca="false">Z$3*$E172</f>
        <v>12.8810631234133</v>
      </c>
      <c r="AA172" s="177" t="n">
        <f aca="false">AA$3*$E172</f>
        <v>12.9550937187212</v>
      </c>
      <c r="AB172" s="177" t="n">
        <f aca="false">AB$3*$E172</f>
        <v>13.0008432310091</v>
      </c>
      <c r="AC172" s="177" t="n">
        <f aca="false">AC$3*$E172</f>
        <v>13.0289108260841</v>
      </c>
      <c r="AD172" s="219" t="n">
        <f aca="false">Algae_electricity_factor/H172</f>
        <v>0.002102647775103</v>
      </c>
      <c r="AE172" s="220" t="n">
        <f aca="false">Algae_electricity_factor/I172</f>
        <v>0.002102647775103</v>
      </c>
      <c r="AF172" s="220" t="n">
        <f aca="false">Algae_electricity_factor/J172</f>
        <v>0.002102647775103</v>
      </c>
      <c r="AG172" s="220" t="n">
        <f aca="false">Algae_electricity_factor/K172</f>
        <v>0.002102647775103</v>
      </c>
      <c r="AH172" s="220" t="n">
        <f aca="false">Algae_electricity_factor/L172</f>
        <v>0.002102647775103</v>
      </c>
      <c r="AI172" s="220" t="n">
        <f aca="false">Algae_electricity_factor/M172</f>
        <v>0.00200744303625441</v>
      </c>
      <c r="AJ172" s="220" t="n">
        <f aca="false">Algae_electricity_factor/N172</f>
        <v>0.00195439121452</v>
      </c>
      <c r="AK172" s="220" t="n">
        <f aca="false">Algae_electricity_factor/O172</f>
        <v>0.0018787011128456</v>
      </c>
      <c r="AL172" s="220" t="n">
        <f aca="false">Algae_electricity_factor/P172</f>
        <v>0.00177824965105146</v>
      </c>
      <c r="AM172" s="220" t="n">
        <f aca="false">Algae_electricity_factor/Q172</f>
        <v>0.00165700933052757</v>
      </c>
      <c r="AN172" s="220" t="n">
        <f aca="false">Algae_electricity_factor/R172</f>
        <v>0.00152637800300842</v>
      </c>
      <c r="AO172" s="220" t="n">
        <f aca="false">Algae_electricity_factor/S172</f>
        <v>0.001401765183402</v>
      </c>
      <c r="AP172" s="220" t="n">
        <f aca="false">Algae_electricity_factor/T172</f>
        <v>0.00129596331610077</v>
      </c>
      <c r="AQ172" s="220" t="n">
        <f aca="false">Algae_electricity_factor/U172</f>
        <v>0.00121466009357527</v>
      </c>
      <c r="AR172" s="220" t="n">
        <f aca="false">Algae_electricity_factor/V172</f>
        <v>0.00115684270583858</v>
      </c>
      <c r="AS172" s="220" t="n">
        <f aca="false">Algae_electricity_factor/W172</f>
        <v>0.00111795567938868</v>
      </c>
      <c r="AT172" s="220" t="n">
        <f aca="false">Algae_electricity_factor/X172</f>
        <v>0.00109277172465708</v>
      </c>
      <c r="AU172" s="220" t="n">
        <f aca="false">Algae_electricity_factor/Y172</f>
        <v>0.001076859385884</v>
      </c>
      <c r="AV172" s="220" t="n">
        <f aca="false">Algae_electricity_factor/Z172</f>
        <v>0.00106696139688565</v>
      </c>
      <c r="AW172" s="220" t="n">
        <f aca="false">Algae_electricity_factor/AA172</f>
        <v>0.00106086435204004</v>
      </c>
      <c r="AX172" s="220" t="n">
        <f aca="false">Algae_electricity_factor/AB172</f>
        <v>0.0010571312075165</v>
      </c>
      <c r="AY172" s="220" t="n">
        <f aca="false">Algae_electricity_factor/AC172</f>
        <v>0.00105485387742576</v>
      </c>
      <c r="AZ172" s="221" t="n">
        <f aca="false">Algae_yield_cost_factor/H172</f>
        <v>0.116402134651844</v>
      </c>
      <c r="BA172" s="197" t="n">
        <f aca="false">Algae_yield_cost_factor/I172</f>
        <v>0.116402134651844</v>
      </c>
      <c r="BB172" s="197" t="n">
        <f aca="false">Algae_yield_cost_factor/J172</f>
        <v>0.116402134651844</v>
      </c>
      <c r="BC172" s="197" t="n">
        <f aca="false">Algae_yield_cost_factor/K172</f>
        <v>0.116402134651844</v>
      </c>
      <c r="BD172" s="197" t="n">
        <f aca="false">Algae_yield_cost_factor/L172</f>
        <v>0.116402134651844</v>
      </c>
      <c r="BE172" s="197" t="n">
        <f aca="false">Algae_yield_cost_factor/M172</f>
        <v>0.11113162051145</v>
      </c>
      <c r="BF172" s="197" t="n">
        <f aca="false">Algae_yield_cost_factor/N172</f>
        <v>0.108194682917729</v>
      </c>
      <c r="BG172" s="197" t="n">
        <f aca="false">Algae_yield_cost_factor/O172</f>
        <v>0.10400449495033</v>
      </c>
      <c r="BH172" s="197" t="n">
        <f aca="false">Algae_yield_cost_factor/P172</f>
        <v>0.0984435233410157</v>
      </c>
      <c r="BI172" s="197" t="n">
        <f aca="false">Algae_yield_cost_factor/Q172</f>
        <v>0.0917316849237783</v>
      </c>
      <c r="BJ172" s="197" t="n">
        <f aca="false">Algae_yield_cost_factor/R172</f>
        <v>0.0844999623520374</v>
      </c>
      <c r="BK172" s="197" t="n">
        <f aca="false">Algae_yield_cost_factor/S172</f>
        <v>0.0776014231012292</v>
      </c>
      <c r="BL172" s="197" t="n">
        <f aca="false">Algae_yield_cost_factor/T172</f>
        <v>0.0717442541783883</v>
      </c>
      <c r="BM172" s="197" t="n">
        <f aca="false">Algae_yield_cost_factor/U172</f>
        <v>0.0672433250317657</v>
      </c>
      <c r="BN172" s="197" t="n">
        <f aca="false">Algae_yield_cost_factor/V172</f>
        <v>0.0640425667154023</v>
      </c>
      <c r="BO172" s="197" t="n">
        <f aca="false">Algae_yield_cost_factor/W172</f>
        <v>0.0618897891828885</v>
      </c>
      <c r="BP172" s="197" t="n">
        <f aca="false">Algae_yield_cost_factor/X172</f>
        <v>0.0604956107929347</v>
      </c>
      <c r="BQ172" s="197" t="n">
        <f aca="false">Algae_yield_cost_factor/Y172</f>
        <v>0.0596147070950251</v>
      </c>
      <c r="BR172" s="197" t="n">
        <f aca="false">Algae_yield_cost_factor/Z172</f>
        <v>0.0590667565244107</v>
      </c>
      <c r="BS172" s="197" t="n">
        <f aca="false">Algae_yield_cost_factor/AA172</f>
        <v>0.0587292254155393</v>
      </c>
      <c r="BT172" s="197" t="n">
        <f aca="false">Algae_yield_cost_factor/AB172</f>
        <v>0.0585225593268819</v>
      </c>
      <c r="BU172" s="197" t="n">
        <f aca="false">Algae_yield_cost_factor/AC172</f>
        <v>0.0583964868163036</v>
      </c>
    </row>
    <row r="173" customFormat="false" ht="15" hidden="false" customHeight="false" outlineLevel="0" collapsed="false">
      <c r="A173" s="18" t="s">
        <v>716</v>
      </c>
      <c r="B173" s="18" t="s">
        <v>22</v>
      </c>
      <c r="C173" s="18" t="s">
        <v>683</v>
      </c>
      <c r="D173" s="18" t="s">
        <v>683</v>
      </c>
      <c r="E173" s="28" t="n">
        <v>7.00362</v>
      </c>
      <c r="F173" s="185" t="n">
        <f aca="false">E173/$B$2*$F$3/1000</f>
        <v>0.017158869</v>
      </c>
      <c r="G173" s="18" t="n">
        <f aca="false">LOOKUP(RIGHT(D173,5),Ref!$C$4:$C$21,Ref!$E$4:$E$21)*$G$3</f>
        <v>3</v>
      </c>
      <c r="H173" s="218" t="n">
        <f aca="false">$E173</f>
        <v>7.00362</v>
      </c>
      <c r="I173" s="177" t="n">
        <f aca="false">$E173</f>
        <v>7.00362</v>
      </c>
      <c r="J173" s="177" t="n">
        <f aca="false">$E173</f>
        <v>7.00362</v>
      </c>
      <c r="K173" s="177" t="n">
        <f aca="false">$E173</f>
        <v>7.00362</v>
      </c>
      <c r="L173" s="177" t="n">
        <f aca="false">$E173</f>
        <v>7.00362</v>
      </c>
      <c r="M173" s="177" t="n">
        <f aca="false">M$3*$E173</f>
        <v>7.33577279390387</v>
      </c>
      <c r="N173" s="177" t="n">
        <f aca="false">N$3*$E173</f>
        <v>7.53490186676038</v>
      </c>
      <c r="O173" s="177" t="n">
        <f aca="false">O$3*$E173</f>
        <v>7.83847196873254</v>
      </c>
      <c r="P173" s="177" t="n">
        <f aca="false">P$3*$E173</f>
        <v>8.28125904704067</v>
      </c>
      <c r="Q173" s="177" t="n">
        <f aca="false">Q$3*$E173</f>
        <v>8.88718351753533</v>
      </c>
      <c r="R173" s="177" t="n">
        <f aca="false">R$3*$E173</f>
        <v>9.64777137880807</v>
      </c>
      <c r="S173" s="177" t="n">
        <f aca="false">S$3*$E173</f>
        <v>10.50543</v>
      </c>
      <c r="T173" s="177" t="n">
        <f aca="false">T$3*$E173</f>
        <v>11.3630886211919</v>
      </c>
      <c r="U173" s="177" t="n">
        <f aca="false">U$3*$E173</f>
        <v>12.1236764824647</v>
      </c>
      <c r="V173" s="177" t="n">
        <f aca="false">V$3*$E173</f>
        <v>12.7296009529593</v>
      </c>
      <c r="W173" s="177" t="n">
        <f aca="false">W$3*$E173</f>
        <v>13.1723880312675</v>
      </c>
      <c r="X173" s="177" t="n">
        <f aca="false">X$3*$E173</f>
        <v>13.4759581332396</v>
      </c>
      <c r="Y173" s="177" t="n">
        <f aca="false">Y$3*$E173</f>
        <v>13.6750872060961</v>
      </c>
      <c r="Z173" s="177" t="n">
        <f aca="false">Z$3*$E173</f>
        <v>13.8019482744652</v>
      </c>
      <c r="AA173" s="177" t="n">
        <f aca="false">AA$3*$E173</f>
        <v>13.8812714201853</v>
      </c>
      <c r="AB173" s="177" t="n">
        <f aca="false">AB$3*$E173</f>
        <v>13.9302916288535</v>
      </c>
      <c r="AC173" s="177" t="n">
        <f aca="false">AC$3*$E173</f>
        <v>13.9603658154097</v>
      </c>
      <c r="AD173" s="219" t="n">
        <f aca="false">Algae_electricity_factor/H173</f>
        <v>0.00196235619629981</v>
      </c>
      <c r="AE173" s="220" t="n">
        <f aca="false">Algae_electricity_factor/I173</f>
        <v>0.00196235619629981</v>
      </c>
      <c r="AF173" s="220" t="n">
        <f aca="false">Algae_electricity_factor/J173</f>
        <v>0.00196235619629981</v>
      </c>
      <c r="AG173" s="220" t="n">
        <f aca="false">Algae_electricity_factor/K173</f>
        <v>0.00196235619629981</v>
      </c>
      <c r="AH173" s="220" t="n">
        <f aca="false">Algae_electricity_factor/L173</f>
        <v>0.00196235619629981</v>
      </c>
      <c r="AI173" s="220" t="n">
        <f aca="false">Algae_electricity_factor/M173</f>
        <v>0.00187350364980638</v>
      </c>
      <c r="AJ173" s="220" t="n">
        <f aca="false">Algae_electricity_factor/N173</f>
        <v>0.00182399151927353</v>
      </c>
      <c r="AK173" s="220" t="n">
        <f aca="false">Algae_electricity_factor/O173</f>
        <v>0.00175335156626854</v>
      </c>
      <c r="AL173" s="220" t="n">
        <f aca="false">Algae_electricity_factor/P173</f>
        <v>0.00165960236546888</v>
      </c>
      <c r="AM173" s="220" t="n">
        <f aca="false">Algae_electricity_factor/Q173</f>
        <v>0.00154645136745649</v>
      </c>
      <c r="AN173" s="220" t="n">
        <f aca="false">Algae_electricity_factor/R173</f>
        <v>0.00142453594347374</v>
      </c>
      <c r="AO173" s="220" t="n">
        <f aca="false">Algae_electricity_factor/S173</f>
        <v>0.00130823746419987</v>
      </c>
      <c r="AP173" s="220" t="n">
        <f aca="false">Algae_electricity_factor/T173</f>
        <v>0.00120949484437688</v>
      </c>
      <c r="AQ173" s="220" t="n">
        <f aca="false">Algae_electricity_factor/U173</f>
        <v>0.00113361628573705</v>
      </c>
      <c r="AR173" s="220" t="n">
        <f aca="false">Algae_electricity_factor/V173</f>
        <v>0.00107965655438195</v>
      </c>
      <c r="AS173" s="220" t="n">
        <f aca="false">Algae_electricity_factor/W173</f>
        <v>0.00104336412432627</v>
      </c>
      <c r="AT173" s="220" t="n">
        <f aca="false">Algae_electricity_factor/X173</f>
        <v>0.00101986047801896</v>
      </c>
      <c r="AU173" s="220" t="n">
        <f aca="false">Algae_electricity_factor/Y173</f>
        <v>0.001005009832581</v>
      </c>
      <c r="AV173" s="220" t="n">
        <f aca="false">Algae_electricity_factor/Z173</f>
        <v>0.000995772251150667</v>
      </c>
      <c r="AW173" s="220" t="n">
        <f aca="false">Algae_electricity_factor/AA173</f>
        <v>0.0009900820096021</v>
      </c>
      <c r="AX173" s="220" t="n">
        <f aca="false">Algae_electricity_factor/AB173</f>
        <v>0.00098659794566414</v>
      </c>
      <c r="AY173" s="220" t="n">
        <f aca="false">Algae_electricity_factor/AC173</f>
        <v>0.000984472562198826</v>
      </c>
      <c r="AZ173" s="221" t="n">
        <f aca="false">Algae_yield_cost_factor/H173</f>
        <v>0.108635622618905</v>
      </c>
      <c r="BA173" s="197" t="n">
        <f aca="false">Algae_yield_cost_factor/I173</f>
        <v>0.108635622618905</v>
      </c>
      <c r="BB173" s="197" t="n">
        <f aca="false">Algae_yield_cost_factor/J173</f>
        <v>0.108635622618905</v>
      </c>
      <c r="BC173" s="197" t="n">
        <f aca="false">Algae_yield_cost_factor/K173</f>
        <v>0.108635622618905</v>
      </c>
      <c r="BD173" s="197" t="n">
        <f aca="false">Algae_yield_cost_factor/L173</f>
        <v>0.108635622618905</v>
      </c>
      <c r="BE173" s="197" t="n">
        <f aca="false">Algae_yield_cost_factor/M173</f>
        <v>0.103716764499371</v>
      </c>
      <c r="BF173" s="197" t="n">
        <f aca="false">Algae_yield_cost_factor/N173</f>
        <v>0.100975783459452</v>
      </c>
      <c r="BG173" s="197" t="n">
        <f aca="false">Algae_yield_cost_factor/O173</f>
        <v>0.0970651706507593</v>
      </c>
      <c r="BH173" s="197" t="n">
        <f aca="false">Algae_yield_cost_factor/P173</f>
        <v>0.0918752347878921</v>
      </c>
      <c r="BI173" s="197" t="n">
        <f aca="false">Algae_yield_cost_factor/Q173</f>
        <v>0.0856112195483527</v>
      </c>
      <c r="BJ173" s="197" t="n">
        <f aca="false">Algae_yield_cost_factor/R173</f>
        <v>0.0788620075468886</v>
      </c>
      <c r="BK173" s="197" t="n">
        <f aca="false">Algae_yield_cost_factor/S173</f>
        <v>0.0724237484126036</v>
      </c>
      <c r="BL173" s="197" t="n">
        <f aca="false">Algae_yield_cost_factor/T173</f>
        <v>0.066957377932199</v>
      </c>
      <c r="BM173" s="197" t="n">
        <f aca="false">Algae_yield_cost_factor/U173</f>
        <v>0.0627567570271838</v>
      </c>
      <c r="BN173" s="197" t="n">
        <f aca="false">Algae_yield_cost_factor/V173</f>
        <v>0.0597695577495177</v>
      </c>
      <c r="BO173" s="197" t="n">
        <f aca="false">Algae_yield_cost_factor/W173</f>
        <v>0.0577604165228201</v>
      </c>
      <c r="BP173" s="197" t="n">
        <f aca="false">Algae_yield_cost_factor/X173</f>
        <v>0.0564592596506762</v>
      </c>
      <c r="BQ173" s="197" t="n">
        <f aca="false">Algae_yield_cost_factor/Y173</f>
        <v>0.0556371310705095</v>
      </c>
      <c r="BR173" s="197" t="n">
        <f aca="false">Algae_yield_cost_factor/Z173</f>
        <v>0.0551257405227234</v>
      </c>
      <c r="BS173" s="197" t="n">
        <f aca="false">Algae_yield_cost_factor/AA173</f>
        <v>0.0548107299580532</v>
      </c>
      <c r="BT173" s="197" t="n">
        <f aca="false">Algae_yield_cost_factor/AB173</f>
        <v>0.0546178529177595</v>
      </c>
      <c r="BU173" s="197" t="n">
        <f aca="false">Algae_yield_cost_factor/AC173</f>
        <v>0.054500192140122</v>
      </c>
    </row>
    <row r="174" customFormat="false" ht="15" hidden="false" customHeight="false" outlineLevel="0" collapsed="false">
      <c r="A174" s="18" t="s">
        <v>716</v>
      </c>
      <c r="B174" s="18" t="s">
        <v>22</v>
      </c>
      <c r="C174" s="18" t="s">
        <v>684</v>
      </c>
      <c r="D174" s="18" t="s">
        <v>684</v>
      </c>
      <c r="E174" s="28" t="n">
        <v>7.163125</v>
      </c>
      <c r="F174" s="185" t="n">
        <f aca="false">E174/$B$2*$F$3/1000</f>
        <v>0.01754965625</v>
      </c>
      <c r="G174" s="18" t="n">
        <f aca="false">LOOKUP(RIGHT(D174,5),Ref!$C$4:$C$21,Ref!$E$4:$E$21)*$G$3</f>
        <v>3.5</v>
      </c>
      <c r="H174" s="218" t="n">
        <f aca="false">$E174</f>
        <v>7.163125</v>
      </c>
      <c r="I174" s="177" t="n">
        <f aca="false">$E174</f>
        <v>7.163125</v>
      </c>
      <c r="J174" s="177" t="n">
        <f aca="false">$E174</f>
        <v>7.163125</v>
      </c>
      <c r="K174" s="177" t="n">
        <f aca="false">$E174</f>
        <v>7.163125</v>
      </c>
      <c r="L174" s="177" t="n">
        <f aca="false">$E174</f>
        <v>7.163125</v>
      </c>
      <c r="M174" s="177" t="n">
        <f aca="false">M$3*$E174</f>
        <v>7.50284245780506</v>
      </c>
      <c r="N174" s="177" t="n">
        <f aca="false">N$3*$E174</f>
        <v>7.70650662576467</v>
      </c>
      <c r="O174" s="177" t="n">
        <f aca="false">O$3*$E174</f>
        <v>8.01699043080968</v>
      </c>
      <c r="P174" s="177" t="n">
        <f aca="false">P$3*$E174</f>
        <v>8.46986183021541</v>
      </c>
      <c r="Q174" s="177" t="n">
        <f aca="false">Q$3*$E174</f>
        <v>9.08958601895095</v>
      </c>
      <c r="R174" s="177" t="n">
        <f aca="false">R$3*$E174</f>
        <v>9.86749600318472</v>
      </c>
      <c r="S174" s="177" t="n">
        <f aca="false">S$3*$E174</f>
        <v>10.7446875</v>
      </c>
      <c r="T174" s="177" t="n">
        <f aca="false">T$3*$E174</f>
        <v>11.6218789968153</v>
      </c>
      <c r="U174" s="177" t="n">
        <f aca="false">U$3*$E174</f>
        <v>12.3997889810491</v>
      </c>
      <c r="V174" s="177" t="n">
        <f aca="false">V$3*$E174</f>
        <v>13.0195131697846</v>
      </c>
      <c r="W174" s="177" t="n">
        <f aca="false">W$3*$E174</f>
        <v>13.4723845691903</v>
      </c>
      <c r="X174" s="177" t="n">
        <f aca="false">X$3*$E174</f>
        <v>13.7828683742353</v>
      </c>
      <c r="Y174" s="177" t="n">
        <f aca="false">Y$3*$E174</f>
        <v>13.9865325421949</v>
      </c>
      <c r="Z174" s="177" t="n">
        <f aca="false">Z$3*$E174</f>
        <v>14.1162828270992</v>
      </c>
      <c r="AA174" s="177" t="n">
        <f aca="false">AA$3*$E174</f>
        <v>14.1974125297653</v>
      </c>
      <c r="AB174" s="177" t="n">
        <f aca="false">AB$3*$E174</f>
        <v>14.2475491565692</v>
      </c>
      <c r="AC174" s="177" t="n">
        <f aca="false">AC$3*$E174</f>
        <v>14.278308272223</v>
      </c>
      <c r="AD174" s="219" t="n">
        <f aca="false">Algae_electricity_factor/H174</f>
        <v>0.00191865939845099</v>
      </c>
      <c r="AE174" s="220" t="n">
        <f aca="false">Algae_electricity_factor/I174</f>
        <v>0.00191865939845099</v>
      </c>
      <c r="AF174" s="220" t="n">
        <f aca="false">Algae_electricity_factor/J174</f>
        <v>0.00191865939845099</v>
      </c>
      <c r="AG174" s="220" t="n">
        <f aca="false">Algae_electricity_factor/K174</f>
        <v>0.00191865939845099</v>
      </c>
      <c r="AH174" s="220" t="n">
        <f aca="false">Algae_electricity_factor/L174</f>
        <v>0.00191865939845099</v>
      </c>
      <c r="AI174" s="220" t="n">
        <f aca="false">Algae_electricity_factor/M174</f>
        <v>0.00183178537745146</v>
      </c>
      <c r="AJ174" s="220" t="n">
        <f aca="false">Algae_electricity_factor/N174</f>
        <v>0.00178337575907366</v>
      </c>
      <c r="AK174" s="220" t="n">
        <f aca="false">Algae_electricity_factor/O174</f>
        <v>0.00171430878234705</v>
      </c>
      <c r="AL174" s="220" t="n">
        <f aca="false">Algae_electricity_factor/P174</f>
        <v>0.00162264714336901</v>
      </c>
      <c r="AM174" s="220" t="n">
        <f aca="false">Algae_electricity_factor/Q174</f>
        <v>0.00151201573700663</v>
      </c>
      <c r="AN174" s="220" t="n">
        <f aca="false">Algae_electricity_factor/R174</f>
        <v>0.00139281506666874</v>
      </c>
      <c r="AO174" s="220" t="n">
        <f aca="false">Algae_electricity_factor/S174</f>
        <v>0.00127910626563399</v>
      </c>
      <c r="AP174" s="220" t="n">
        <f aca="false">Algae_electricity_factor/T174</f>
        <v>0.00118256239867025</v>
      </c>
      <c r="AQ174" s="220" t="n">
        <f aca="false">Algae_electricity_factor/U174</f>
        <v>0.00110837346704319</v>
      </c>
      <c r="AR174" s="220" t="n">
        <f aca="false">Algae_electricity_factor/V174</f>
        <v>0.00105561528486527</v>
      </c>
      <c r="AS174" s="220" t="n">
        <f aca="false">Algae_electricity_factor/W174</f>
        <v>0.00102013099707376</v>
      </c>
      <c r="AT174" s="220" t="n">
        <f aca="false">Algae_electricity_factor/X174</f>
        <v>0.000997150718584857</v>
      </c>
      <c r="AU174" s="220" t="n">
        <f aca="false">Algae_electricity_factor/Y174</f>
        <v>0.000982630760130662</v>
      </c>
      <c r="AV174" s="220" t="n">
        <f aca="false">Algae_electricity_factor/Z174</f>
        <v>0.000973598876691923</v>
      </c>
      <c r="AW174" s="220" t="n">
        <f aca="false">Algae_electricity_factor/AA174</f>
        <v>0.000968035342687648</v>
      </c>
      <c r="AX174" s="220" t="n">
        <f aca="false">Algae_electricity_factor/AB174</f>
        <v>0.000964628860198906</v>
      </c>
      <c r="AY174" s="220" t="n">
        <f aca="false">Algae_electricity_factor/AC174</f>
        <v>0.00096255080374375</v>
      </c>
      <c r="AZ174" s="221" t="n">
        <f aca="false">Algae_yield_cost_factor/H174</f>
        <v>0.106216577162372</v>
      </c>
      <c r="BA174" s="197" t="n">
        <f aca="false">Algae_yield_cost_factor/I174</f>
        <v>0.106216577162372</v>
      </c>
      <c r="BB174" s="197" t="n">
        <f aca="false">Algae_yield_cost_factor/J174</f>
        <v>0.106216577162372</v>
      </c>
      <c r="BC174" s="197" t="n">
        <f aca="false">Algae_yield_cost_factor/K174</f>
        <v>0.106216577162372</v>
      </c>
      <c r="BD174" s="197" t="n">
        <f aca="false">Algae_yield_cost_factor/L174</f>
        <v>0.106216577162372</v>
      </c>
      <c r="BE174" s="197" t="n">
        <f aca="false">Algae_yield_cost_factor/M174</f>
        <v>0.10140724979434</v>
      </c>
      <c r="BF174" s="197" t="n">
        <f aca="false">Algae_yield_cost_factor/N174</f>
        <v>0.0987273035933741</v>
      </c>
      <c r="BG174" s="197" t="n">
        <f aca="false">Algae_yield_cost_factor/O174</f>
        <v>0.0949037704176698</v>
      </c>
      <c r="BH174" s="197" t="n">
        <f aca="false">Algae_yield_cost_factor/P174</f>
        <v>0.0898294015342713</v>
      </c>
      <c r="BI174" s="197" t="n">
        <f aca="false">Algae_yield_cost_factor/Q174</f>
        <v>0.0837048703538237</v>
      </c>
      <c r="BJ174" s="197" t="n">
        <f aca="false">Algae_yield_cost_factor/R174</f>
        <v>0.0771059465380738</v>
      </c>
      <c r="BK174" s="197" t="n">
        <f aca="false">Algae_yield_cost_factor/S174</f>
        <v>0.0708110514415815</v>
      </c>
      <c r="BL174" s="197" t="n">
        <f aca="false">Algae_yield_cost_factor/T174</f>
        <v>0.0654664034528934</v>
      </c>
      <c r="BM174" s="197" t="n">
        <f aca="false">Algae_yield_cost_factor/U174</f>
        <v>0.0613593199407696</v>
      </c>
      <c r="BN174" s="197" t="n">
        <f aca="false">Algae_yield_cost_factor/V174</f>
        <v>0.0584386381705857</v>
      </c>
      <c r="BO174" s="197" t="n">
        <f aca="false">Algae_yield_cost_factor/W174</f>
        <v>0.0564742355281463</v>
      </c>
      <c r="BP174" s="197" t="n">
        <f aca="false">Algae_yield_cost_factor/X174</f>
        <v>0.055202052187372</v>
      </c>
      <c r="BQ174" s="197" t="n">
        <f aca="false">Algae_yield_cost_factor/Y174</f>
        <v>0.0543982303684553</v>
      </c>
      <c r="BR174" s="197" t="n">
        <f aca="false">Algae_yield_cost_factor/Z174</f>
        <v>0.0538982272178352</v>
      </c>
      <c r="BS174" s="197" t="n">
        <f aca="false">Algae_yield_cost_factor/AA174</f>
        <v>0.0535902311559299</v>
      </c>
      <c r="BT174" s="197" t="n">
        <f aca="false">Algae_yield_cost_factor/AB174</f>
        <v>0.0534016490082022</v>
      </c>
      <c r="BU174" s="197" t="n">
        <f aca="false">Algae_yield_cost_factor/AC174</f>
        <v>0.0532866082438044</v>
      </c>
    </row>
    <row r="175" customFormat="false" ht="15" hidden="false" customHeight="false" outlineLevel="0" collapsed="false">
      <c r="A175" s="18" t="s">
        <v>716</v>
      </c>
      <c r="B175" s="18" t="s">
        <v>22</v>
      </c>
      <c r="C175" s="18" t="s">
        <v>685</v>
      </c>
      <c r="D175" s="18" t="s">
        <v>685</v>
      </c>
      <c r="E175" s="28" t="n">
        <v>7.18174</v>
      </c>
      <c r="F175" s="185" t="n">
        <f aca="false">E175/$B$2*$F$3/1000</f>
        <v>0.017595263</v>
      </c>
      <c r="G175" s="18" t="n">
        <f aca="false">LOOKUP(RIGHT(D175,5),Ref!$C$4:$C$21,Ref!$E$4:$E$21)*$G$3</f>
        <v>4</v>
      </c>
      <c r="H175" s="218" t="n">
        <f aca="false">$E175</f>
        <v>7.18174</v>
      </c>
      <c r="I175" s="177" t="n">
        <f aca="false">$E175</f>
        <v>7.18174</v>
      </c>
      <c r="J175" s="177" t="n">
        <f aca="false">$E175</f>
        <v>7.18174</v>
      </c>
      <c r="K175" s="177" t="n">
        <f aca="false">$E175</f>
        <v>7.18174</v>
      </c>
      <c r="L175" s="177" t="n">
        <f aca="false">$E175</f>
        <v>7.18174</v>
      </c>
      <c r="M175" s="177" t="n">
        <f aca="false">M$3*$E175</f>
        <v>7.52234029043426</v>
      </c>
      <c r="N175" s="177" t="n">
        <f aca="false">N$3*$E175</f>
        <v>7.72653372578577</v>
      </c>
      <c r="O175" s="177" t="n">
        <f aca="false">O$3*$E175</f>
        <v>8.03782439320312</v>
      </c>
      <c r="P175" s="177" t="n">
        <f aca="false">P$3*$E175</f>
        <v>8.49187268134106</v>
      </c>
      <c r="Q175" s="177" t="n">
        <f aca="false">Q$3*$E175</f>
        <v>9.11320736350975</v>
      </c>
      <c r="R175" s="177" t="n">
        <f aca="false">R$3*$E175</f>
        <v>9.89313892273439</v>
      </c>
      <c r="S175" s="177" t="n">
        <f aca="false">S$3*$E175</f>
        <v>10.77261</v>
      </c>
      <c r="T175" s="177" t="n">
        <f aca="false">T$3*$E175</f>
        <v>11.6520810772656</v>
      </c>
      <c r="U175" s="177" t="n">
        <f aca="false">U$3*$E175</f>
        <v>12.4320126364902</v>
      </c>
      <c r="V175" s="177" t="n">
        <f aca="false">V$3*$E175</f>
        <v>13.0533473186589</v>
      </c>
      <c r="W175" s="177" t="n">
        <f aca="false">W$3*$E175</f>
        <v>13.5073956067969</v>
      </c>
      <c r="X175" s="177" t="n">
        <f aca="false">X$3*$E175</f>
        <v>13.8186862742142</v>
      </c>
      <c r="Y175" s="177" t="n">
        <f aca="false">Y$3*$E175</f>
        <v>14.0228797095657</v>
      </c>
      <c r="Z175" s="177" t="n">
        <f aca="false">Z$3*$E175</f>
        <v>14.1529671799238</v>
      </c>
      <c r="AA175" s="177" t="n">
        <f aca="false">AA$3*$E175</f>
        <v>14.2343077164668</v>
      </c>
      <c r="AB175" s="177" t="n">
        <f aca="false">AB$3*$E175</f>
        <v>14.2845746346322</v>
      </c>
      <c r="AC175" s="177" t="n">
        <f aca="false">AC$3*$E175</f>
        <v>14.315413684803</v>
      </c>
      <c r="AD175" s="219" t="n">
        <f aca="false">Algae_electricity_factor/H175</f>
        <v>0.00191368625201264</v>
      </c>
      <c r="AE175" s="220" t="n">
        <f aca="false">Algae_electricity_factor/I175</f>
        <v>0.00191368625201264</v>
      </c>
      <c r="AF175" s="220" t="n">
        <f aca="false">Algae_electricity_factor/J175</f>
        <v>0.00191368625201264</v>
      </c>
      <c r="AG175" s="220" t="n">
        <f aca="false">Algae_electricity_factor/K175</f>
        <v>0.00191368625201264</v>
      </c>
      <c r="AH175" s="220" t="n">
        <f aca="false">Algae_electricity_factor/L175</f>
        <v>0.00191368625201264</v>
      </c>
      <c r="AI175" s="220" t="n">
        <f aca="false">Algae_electricity_factor/M175</f>
        <v>0.00182703740762781</v>
      </c>
      <c r="AJ175" s="220" t="n">
        <f aca="false">Algae_electricity_factor/N175</f>
        <v>0.00177875326650847</v>
      </c>
      <c r="AK175" s="220" t="n">
        <f aca="false">Algae_electricity_factor/O175</f>
        <v>0.00170986531071157</v>
      </c>
      <c r="AL175" s="220" t="n">
        <f aca="false">Algae_electricity_factor/P175</f>
        <v>0.00161844125780732</v>
      </c>
      <c r="AM175" s="220" t="n">
        <f aca="false">Algae_electricity_factor/Q175</f>
        <v>0.00150809660697068</v>
      </c>
      <c r="AN175" s="220" t="n">
        <f aca="false">Algae_electricity_factor/R175</f>
        <v>0.00138920490360714</v>
      </c>
      <c r="AO175" s="220" t="n">
        <f aca="false">Algae_electricity_factor/S175</f>
        <v>0.00127579083467509</v>
      </c>
      <c r="AP175" s="220" t="n">
        <f aca="false">Algae_electricity_factor/T175</f>
        <v>0.00117949720847243</v>
      </c>
      <c r="AQ175" s="220" t="n">
        <f aca="false">Algae_electricity_factor/U175</f>
        <v>0.00110550057383221</v>
      </c>
      <c r="AR175" s="220" t="n">
        <f aca="false">Algae_electricity_factor/V175</f>
        <v>0.00105287914034768</v>
      </c>
      <c r="AS175" s="220" t="n">
        <f aca="false">Algae_electricity_factor/W175</f>
        <v>0.00101748682748387</v>
      </c>
      <c r="AT175" s="220" t="n">
        <f aca="false">Algae_electricity_factor/X175</f>
        <v>0.000994566113652562</v>
      </c>
      <c r="AU175" s="220" t="n">
        <f aca="false">Algae_electricity_factor/Y175</f>
        <v>0.000980083790788994</v>
      </c>
      <c r="AV175" s="220" t="n">
        <f aca="false">Algae_electricity_factor/Z175</f>
        <v>0.000971075317903994</v>
      </c>
      <c r="AW175" s="220" t="n">
        <f aca="false">Algae_electricity_factor/AA175</f>
        <v>0.000965526204525569</v>
      </c>
      <c r="AX175" s="220" t="n">
        <f aca="false">Algae_electricity_factor/AB175</f>
        <v>0.000962128551606197</v>
      </c>
      <c r="AY175" s="220" t="n">
        <f aca="false">Algae_electricity_factor/AC175</f>
        <v>0.000960055881453094</v>
      </c>
      <c r="AZ175" s="221" t="n">
        <f aca="false">Algae_yield_cost_factor/H175</f>
        <v>0.105941264830837</v>
      </c>
      <c r="BA175" s="197" t="n">
        <f aca="false">Algae_yield_cost_factor/I175</f>
        <v>0.105941264830837</v>
      </c>
      <c r="BB175" s="197" t="n">
        <f aca="false">Algae_yield_cost_factor/J175</f>
        <v>0.105941264830837</v>
      </c>
      <c r="BC175" s="197" t="n">
        <f aca="false">Algae_yield_cost_factor/K175</f>
        <v>0.105941264830837</v>
      </c>
      <c r="BD175" s="197" t="n">
        <f aca="false">Algae_yield_cost_factor/L175</f>
        <v>0.105941264830837</v>
      </c>
      <c r="BE175" s="197" t="n">
        <f aca="false">Algae_yield_cost_factor/M175</f>
        <v>0.101144403192413</v>
      </c>
      <c r="BF175" s="197" t="n">
        <f aca="false">Algae_yield_cost_factor/N175</f>
        <v>0.0984714033858491</v>
      </c>
      <c r="BG175" s="197" t="n">
        <f aca="false">Algae_yield_cost_factor/O175</f>
        <v>0.0946577807708259</v>
      </c>
      <c r="BH175" s="197" t="n">
        <f aca="false">Algae_yield_cost_factor/P175</f>
        <v>0.089596564602057</v>
      </c>
      <c r="BI175" s="197" t="n">
        <f aca="false">Algae_yield_cost_factor/Q175</f>
        <v>0.0834879081466655</v>
      </c>
      <c r="BJ175" s="197" t="n">
        <f aca="false">Algae_yield_cost_factor/R175</f>
        <v>0.0769060886770532</v>
      </c>
      <c r="BK175" s="197" t="n">
        <f aca="false">Algae_yield_cost_factor/S175</f>
        <v>0.0706275098872249</v>
      </c>
      <c r="BL175" s="197" t="n">
        <f aca="false">Algae_yield_cost_factor/T175</f>
        <v>0.06529671517397</v>
      </c>
      <c r="BM175" s="197" t="n">
        <f aca="false">Algae_yield_cost_factor/U175</f>
        <v>0.0612002771822323</v>
      </c>
      <c r="BN175" s="197" t="n">
        <f aca="false">Algae_yield_cost_factor/V175</f>
        <v>0.0582871657906966</v>
      </c>
      <c r="BO175" s="197" t="n">
        <f aca="false">Algae_yield_cost_factor/W175</f>
        <v>0.0563278548607375</v>
      </c>
      <c r="BP175" s="197" t="n">
        <f aca="false">Algae_yield_cost_factor/X175</f>
        <v>0.0550589690067684</v>
      </c>
      <c r="BQ175" s="197" t="n">
        <f aca="false">Algae_yield_cost_factor/Y175</f>
        <v>0.0542572306861626</v>
      </c>
      <c r="BR175" s="197" t="n">
        <f aca="false">Algae_yield_cost_factor/Z175</f>
        <v>0.0537585235388299</v>
      </c>
      <c r="BS175" s="197" t="n">
        <f aca="false">Algae_yield_cost_factor/AA175</f>
        <v>0.0534513257997116</v>
      </c>
      <c r="BT175" s="197" t="n">
        <f aca="false">Algae_yield_cost_factor/AB175</f>
        <v>0.0532632324550706</v>
      </c>
      <c r="BU175" s="197" t="n">
        <f aca="false">Algae_yield_cost_factor/AC175</f>
        <v>0.0531484898752115</v>
      </c>
    </row>
    <row r="176" customFormat="false" ht="15" hidden="false" customHeight="false" outlineLevel="0" collapsed="false">
      <c r="A176" s="18" t="s">
        <v>716</v>
      </c>
      <c r="B176" s="18" t="s">
        <v>22</v>
      </c>
      <c r="C176" s="18" t="s">
        <v>686</v>
      </c>
      <c r="D176" s="18" t="s">
        <v>686</v>
      </c>
      <c r="E176" s="28" t="n">
        <v>6.927335</v>
      </c>
      <c r="F176" s="185" t="n">
        <f aca="false">E176/$B$2*$F$3/1000</f>
        <v>0.01697197075</v>
      </c>
      <c r="G176" s="18" t="n">
        <f aca="false">LOOKUP(RIGHT(D176,5),Ref!$C$4:$C$21,Ref!$E$4:$E$21)*$G$3</f>
        <v>4.5</v>
      </c>
      <c r="H176" s="218" t="n">
        <f aca="false">$E176</f>
        <v>6.927335</v>
      </c>
      <c r="I176" s="177" t="n">
        <f aca="false">$E176</f>
        <v>6.927335</v>
      </c>
      <c r="J176" s="177" t="n">
        <f aca="false">$E176</f>
        <v>6.927335</v>
      </c>
      <c r="K176" s="177" t="n">
        <f aca="false">$E176</f>
        <v>6.927335</v>
      </c>
      <c r="L176" s="177" t="n">
        <f aca="false">$E176</f>
        <v>6.927335</v>
      </c>
      <c r="M176" s="177" t="n">
        <f aca="false">M$3*$E176</f>
        <v>7.25586991116852</v>
      </c>
      <c r="N176" s="177" t="n">
        <f aca="false">N$3*$E176</f>
        <v>7.45283002549746</v>
      </c>
      <c r="O176" s="177" t="n">
        <f aca="false">O$3*$E176</f>
        <v>7.75309357382609</v>
      </c>
      <c r="P176" s="177" t="n">
        <f aca="false">P$3*$E176</f>
        <v>8.19105771595711</v>
      </c>
      <c r="Q176" s="177" t="n">
        <f aca="false">Q$3*$E176</f>
        <v>8.79038232120612</v>
      </c>
      <c r="R176" s="177" t="n">
        <f aca="false">R$3*$E176</f>
        <v>9.5426856888888</v>
      </c>
      <c r="S176" s="177" t="n">
        <f aca="false">S$3*$E176</f>
        <v>10.3910025</v>
      </c>
      <c r="T176" s="177" t="n">
        <f aca="false">T$3*$E176</f>
        <v>11.2393193111112</v>
      </c>
      <c r="U176" s="177" t="n">
        <f aca="false">U$3*$E176</f>
        <v>11.9916226787939</v>
      </c>
      <c r="V176" s="177" t="n">
        <f aca="false">V$3*$E176</f>
        <v>12.5909472840429</v>
      </c>
      <c r="W176" s="177" t="n">
        <f aca="false">W$3*$E176</f>
        <v>13.0289114261739</v>
      </c>
      <c r="X176" s="177" t="n">
        <f aca="false">X$3*$E176</f>
        <v>13.3291749745025</v>
      </c>
      <c r="Y176" s="177" t="n">
        <f aca="false">Y$3*$E176</f>
        <v>13.5261350888315</v>
      </c>
      <c r="Z176" s="177" t="n">
        <f aca="false">Z$3*$E176</f>
        <v>13.6516143579881</v>
      </c>
      <c r="AA176" s="177" t="n">
        <f aca="false">AA$3*$E176</f>
        <v>13.7300734982123</v>
      </c>
      <c r="AB176" s="177" t="n">
        <f aca="false">AB$3*$E176</f>
        <v>13.7785597677721</v>
      </c>
      <c r="AC176" s="177" t="n">
        <f aca="false">AC$3*$E176</f>
        <v>13.8083063795424</v>
      </c>
      <c r="AD176" s="219" t="n">
        <f aca="false">Algae_electricity_factor/H176</f>
        <v>0.00198396599897786</v>
      </c>
      <c r="AE176" s="220" t="n">
        <f aca="false">Algae_electricity_factor/I176</f>
        <v>0.00198396599897786</v>
      </c>
      <c r="AF176" s="220" t="n">
        <f aca="false">Algae_electricity_factor/J176</f>
        <v>0.00198396599897786</v>
      </c>
      <c r="AG176" s="220" t="n">
        <f aca="false">Algae_electricity_factor/K176</f>
        <v>0.00198396599897786</v>
      </c>
      <c r="AH176" s="220" t="n">
        <f aca="false">Algae_electricity_factor/L176</f>
        <v>0.00198396599897786</v>
      </c>
      <c r="AI176" s="220" t="n">
        <f aca="false">Algae_electricity_factor/M176</f>
        <v>0.0018941349930178</v>
      </c>
      <c r="AJ176" s="220" t="n">
        <f aca="false">Algae_electricity_factor/N176</f>
        <v>0.00184407762641976</v>
      </c>
      <c r="AK176" s="220" t="n">
        <f aca="false">Algae_electricity_factor/O176</f>
        <v>0.00177265977414831</v>
      </c>
      <c r="AL176" s="220" t="n">
        <f aca="false">Algae_electricity_factor/P176</f>
        <v>0.00167787819108577</v>
      </c>
      <c r="AM176" s="220" t="n">
        <f aca="false">Algae_electricity_factor/Q176</f>
        <v>0.00156348115489515</v>
      </c>
      <c r="AN176" s="220" t="n">
        <f aca="false">Algae_electricity_factor/R176</f>
        <v>0.00144022317737363</v>
      </c>
      <c r="AO176" s="220" t="n">
        <f aca="false">Algae_electricity_factor/S176</f>
        <v>0.00132264399931857</v>
      </c>
      <c r="AP176" s="220" t="n">
        <f aca="false">Algae_electricity_factor/T176</f>
        <v>0.00122281400884681</v>
      </c>
      <c r="AQ176" s="220" t="n">
        <f aca="false">Algae_electricity_factor/U176</f>
        <v>0.00114609986251765</v>
      </c>
      <c r="AR176" s="220" t="n">
        <f aca="false">Algae_electricity_factor/V176</f>
        <v>0.00109154591735502</v>
      </c>
      <c r="AS176" s="220" t="n">
        <f aca="false">Algae_electricity_factor/W176</f>
        <v>0.00105485382884096</v>
      </c>
      <c r="AT176" s="220" t="n">
        <f aca="false">Algae_electricity_factor/X176</f>
        <v>0.00103109135635322</v>
      </c>
      <c r="AU176" s="220" t="n">
        <f aca="false">Algae_electricity_factor/Y176</f>
        <v>0.00101607717306308</v>
      </c>
      <c r="AV176" s="220" t="n">
        <f aca="false">Algae_electricity_factor/Z176</f>
        <v>0.0010067378658032</v>
      </c>
      <c r="AW176" s="220" t="n">
        <f aca="false">Algae_electricity_factor/AA176</f>
        <v>0.0010009849623397</v>
      </c>
      <c r="AX176" s="220" t="n">
        <f aca="false">Algae_electricity_factor/AB176</f>
        <v>0.000997462531292667</v>
      </c>
      <c r="AY176" s="220" t="n">
        <f aca="false">Algae_electricity_factor/AC176</f>
        <v>0.000995313742740454</v>
      </c>
      <c r="AZ176" s="221" t="n">
        <f aca="false">Algae_yield_cost_factor/H176</f>
        <v>0.109831936709603</v>
      </c>
      <c r="BA176" s="197" t="n">
        <f aca="false">Algae_yield_cost_factor/I176</f>
        <v>0.109831936709603</v>
      </c>
      <c r="BB176" s="197" t="n">
        <f aca="false">Algae_yield_cost_factor/J176</f>
        <v>0.109831936709603</v>
      </c>
      <c r="BC176" s="197" t="n">
        <f aca="false">Algae_yield_cost_factor/K176</f>
        <v>0.109831936709603</v>
      </c>
      <c r="BD176" s="197" t="n">
        <f aca="false">Algae_yield_cost_factor/L176</f>
        <v>0.109831936709603</v>
      </c>
      <c r="BE176" s="197" t="n">
        <f aca="false">Algae_yield_cost_factor/M176</f>
        <v>0.104858911281623</v>
      </c>
      <c r="BF176" s="197" t="n">
        <f aca="false">Algae_yield_cost_factor/N176</f>
        <v>0.102087746088833</v>
      </c>
      <c r="BG176" s="197" t="n">
        <f aca="false">Algae_yield_cost_factor/O176</f>
        <v>0.0981340689418183</v>
      </c>
      <c r="BH176" s="197" t="n">
        <f aca="false">Algae_yield_cost_factor/P176</f>
        <v>0.0928869806159479</v>
      </c>
      <c r="BI176" s="197" t="n">
        <f aca="false">Algae_yield_cost_factor/Q176</f>
        <v>0.0865539849672686</v>
      </c>
      <c r="BJ176" s="197" t="n">
        <f aca="false">Algae_yield_cost_factor/R176</f>
        <v>0.0797304494867853</v>
      </c>
      <c r="BK176" s="197" t="n">
        <f aca="false">Algae_yield_cost_factor/S176</f>
        <v>0.0732212911397353</v>
      </c>
      <c r="BL176" s="197" t="n">
        <f aca="false">Algae_yield_cost_factor/T176</f>
        <v>0.0676947240509528</v>
      </c>
      <c r="BM176" s="197" t="n">
        <f aca="false">Algae_yield_cost_factor/U176</f>
        <v>0.0634478451887667</v>
      </c>
      <c r="BN176" s="197" t="n">
        <f aca="false">Algae_yield_cost_factor/V176</f>
        <v>0.0604277503608064</v>
      </c>
      <c r="BO176" s="197" t="n">
        <f aca="false">Algae_yield_cost_factor/W176</f>
        <v>0.0583964841266595</v>
      </c>
      <c r="BP176" s="197" t="n">
        <f aca="false">Algae_yield_cost_factor/X176</f>
        <v>0.05708099869209</v>
      </c>
      <c r="BQ176" s="197" t="n">
        <f aca="false">Algae_yield_cost_factor/Y176</f>
        <v>0.0562498166911289</v>
      </c>
      <c r="BR176" s="197" t="n">
        <f aca="false">Algae_yield_cost_factor/Z176</f>
        <v>0.0557327946230052</v>
      </c>
      <c r="BS176" s="197" t="n">
        <f aca="false">Algae_yield_cost_factor/AA176</f>
        <v>0.0554143151080207</v>
      </c>
      <c r="BT176" s="197" t="n">
        <f aca="false">Algae_yield_cost_factor/AB176</f>
        <v>0.0552193140727103</v>
      </c>
      <c r="BU176" s="197" t="n">
        <f aca="false">Algae_yield_cost_factor/AC176</f>
        <v>0.0551003575944286</v>
      </c>
    </row>
    <row r="177" customFormat="false" ht="15" hidden="false" customHeight="false" outlineLevel="0" collapsed="false">
      <c r="A177" s="18" t="s">
        <v>716</v>
      </c>
      <c r="B177" s="18" t="s">
        <v>22</v>
      </c>
      <c r="C177" s="18" t="s">
        <v>687</v>
      </c>
      <c r="D177" s="18" t="s">
        <v>687</v>
      </c>
      <c r="E177" s="28" t="n">
        <v>6.8158275</v>
      </c>
      <c r="F177" s="185" t="n">
        <f aca="false">E177/$B$2*$F$3/1000</f>
        <v>0.016698777375</v>
      </c>
      <c r="G177" s="18" t="n">
        <f aca="false">LOOKUP(RIGHT(D177,5),Ref!$C$4:$C$21,Ref!$E$4:$E$21)*$G$3</f>
        <v>4.5</v>
      </c>
      <c r="H177" s="218" t="n">
        <f aca="false">$E177</f>
        <v>6.8158275</v>
      </c>
      <c r="I177" s="177" t="n">
        <f aca="false">$E177</f>
        <v>6.8158275</v>
      </c>
      <c r="J177" s="177" t="n">
        <f aca="false">$E177</f>
        <v>6.8158275</v>
      </c>
      <c r="K177" s="177" t="n">
        <f aca="false">$E177</f>
        <v>6.8158275</v>
      </c>
      <c r="L177" s="177" t="n">
        <f aca="false">$E177</f>
        <v>6.8158275</v>
      </c>
      <c r="M177" s="177" t="n">
        <f aca="false">M$3*$E177</f>
        <v>7.13907407061517</v>
      </c>
      <c r="N177" s="177" t="n">
        <f aca="false">N$3*$E177</f>
        <v>7.33286376948874</v>
      </c>
      <c r="O177" s="177" t="n">
        <f aca="false">O$3*$E177</f>
        <v>7.6282940539987</v>
      </c>
      <c r="P177" s="177" t="n">
        <f aca="false">P$3*$E177</f>
        <v>8.05920840186127</v>
      </c>
      <c r="Q177" s="177" t="n">
        <f aca="false">Q$3*$E177</f>
        <v>8.6488858356627</v>
      </c>
      <c r="R177" s="177" t="n">
        <f aca="false">R$3*$E177</f>
        <v>9.38907957276279</v>
      </c>
      <c r="S177" s="177" t="n">
        <f aca="false">S$3*$E177</f>
        <v>10.22374125</v>
      </c>
      <c r="T177" s="177" t="n">
        <f aca="false">T$3*$E177</f>
        <v>11.0584029272372</v>
      </c>
      <c r="U177" s="177" t="n">
        <f aca="false">U$3*$E177</f>
        <v>11.7985966643373</v>
      </c>
      <c r="V177" s="177" t="n">
        <f aca="false">V$3*$E177</f>
        <v>12.3882740981387</v>
      </c>
      <c r="W177" s="177" t="n">
        <f aca="false">W$3*$E177</f>
        <v>12.8191884460013</v>
      </c>
      <c r="X177" s="177" t="n">
        <f aca="false">X$3*$E177</f>
        <v>13.1146187305113</v>
      </c>
      <c r="Y177" s="177" t="n">
        <f aca="false">Y$3*$E177</f>
        <v>13.3084084293848</v>
      </c>
      <c r="Z177" s="177" t="n">
        <f aca="false">Z$3*$E177</f>
        <v>13.4318678915586</v>
      </c>
      <c r="AA177" s="177" t="n">
        <f aca="false">AA$3*$E177</f>
        <v>13.5090640955196</v>
      </c>
      <c r="AB177" s="177" t="n">
        <f aca="false">AB$3*$E177</f>
        <v>13.5567698942775</v>
      </c>
      <c r="AC177" s="177" t="n">
        <f aca="false">AC$3*$E177</f>
        <v>13.5860376826169</v>
      </c>
      <c r="AD177" s="219" t="n">
        <f aca="false">Algae_electricity_factor/H177</f>
        <v>0.00201642384633843</v>
      </c>
      <c r="AE177" s="220" t="n">
        <f aca="false">Algae_electricity_factor/I177</f>
        <v>0.00201642384633843</v>
      </c>
      <c r="AF177" s="220" t="n">
        <f aca="false">Algae_electricity_factor/J177</f>
        <v>0.00201642384633843</v>
      </c>
      <c r="AG177" s="220" t="n">
        <f aca="false">Algae_electricity_factor/K177</f>
        <v>0.00201642384633843</v>
      </c>
      <c r="AH177" s="220" t="n">
        <f aca="false">Algae_electricity_factor/L177</f>
        <v>0.00201642384633843</v>
      </c>
      <c r="AI177" s="220" t="n">
        <f aca="false">Algae_electricity_factor/M177</f>
        <v>0.00192512319771253</v>
      </c>
      <c r="AJ177" s="220" t="n">
        <f aca="false">Algae_electricity_factor/N177</f>
        <v>0.00187424688846872</v>
      </c>
      <c r="AK177" s="220" t="n">
        <f aca="false">Algae_electricity_factor/O177</f>
        <v>0.00180166063424429</v>
      </c>
      <c r="AL177" s="220" t="n">
        <f aca="false">Algae_electricity_factor/P177</f>
        <v>0.00170532841666623</v>
      </c>
      <c r="AM177" s="220" t="n">
        <f aca="false">Algae_electricity_factor/Q177</f>
        <v>0.00158905983552923</v>
      </c>
      <c r="AN177" s="220" t="n">
        <f aca="false">Algae_electricity_factor/R177</f>
        <v>0.00146378534733039</v>
      </c>
      <c r="AO177" s="220" t="n">
        <f aca="false">Algae_electricity_factor/S177</f>
        <v>0.00134428256422562</v>
      </c>
      <c r="AP177" s="220" t="n">
        <f aca="false">Algae_electricity_factor/T177</f>
        <v>0.00124281934687678</v>
      </c>
      <c r="AQ177" s="220" t="n">
        <f aca="false">Algae_electricity_factor/U177</f>
        <v>0.00116485015078708</v>
      </c>
      <c r="AR177" s="220" t="n">
        <f aca="false">Algae_electricity_factor/V177</f>
        <v>0.00110940369858253</v>
      </c>
      <c r="AS177" s="220" t="n">
        <f aca="false">Algae_electricity_factor/W177</f>
        <v>0.00107211132447439</v>
      </c>
      <c r="AT177" s="220" t="n">
        <f aca="false">Algae_electricity_factor/X177</f>
        <v>0.00104796009597707</v>
      </c>
      <c r="AU177" s="220" t="n">
        <f aca="false">Algae_electricity_factor/Y177</f>
        <v>0.00103270027941009</v>
      </c>
      <c r="AV177" s="220" t="n">
        <f aca="false">Algae_electricity_factor/Z177</f>
        <v>0.00102320818031322</v>
      </c>
      <c r="AW177" s="220" t="n">
        <f aca="false">Algae_electricity_factor/AA177</f>
        <v>0.00101736115887461</v>
      </c>
      <c r="AX177" s="220" t="n">
        <f aca="false">Algae_electricity_factor/AB177</f>
        <v>0.00101378110056516</v>
      </c>
      <c r="AY177" s="220" t="n">
        <f aca="false">Algae_electricity_factor/AC177</f>
        <v>0.00101159715765502</v>
      </c>
      <c r="AZ177" s="221" t="n">
        <f aca="false">Algae_yield_cost_factor/H177</f>
        <v>0.111628796251991</v>
      </c>
      <c r="BA177" s="197" t="n">
        <f aca="false">Algae_yield_cost_factor/I177</f>
        <v>0.111628796251991</v>
      </c>
      <c r="BB177" s="197" t="n">
        <f aca="false">Algae_yield_cost_factor/J177</f>
        <v>0.111628796251991</v>
      </c>
      <c r="BC177" s="197" t="n">
        <f aca="false">Algae_yield_cost_factor/K177</f>
        <v>0.111628796251991</v>
      </c>
      <c r="BD177" s="197" t="n">
        <f aca="false">Algae_yield_cost_factor/L177</f>
        <v>0.111628796251991</v>
      </c>
      <c r="BE177" s="197" t="n">
        <f aca="false">Algae_yield_cost_factor/M177</f>
        <v>0.106574411717885</v>
      </c>
      <c r="BF177" s="197" t="n">
        <f aca="false">Algae_yield_cost_factor/N177</f>
        <v>0.103757910034004</v>
      </c>
      <c r="BG177" s="197" t="n">
        <f aca="false">Algae_yield_cost_factor/O177</f>
        <v>0.0997395504028045</v>
      </c>
      <c r="BH177" s="197" t="n">
        <f aca="false">Algae_yield_cost_factor/P177</f>
        <v>0.0944066192791964</v>
      </c>
      <c r="BI177" s="197" t="n">
        <f aca="false">Algae_yield_cost_factor/Q177</f>
        <v>0.0879700152994238</v>
      </c>
      <c r="BJ177" s="197" t="n">
        <f aca="false">Algae_yield_cost_factor/R177</f>
        <v>0.0810348462157442</v>
      </c>
      <c r="BK177" s="197" t="n">
        <f aca="false">Algae_yield_cost_factor/S177</f>
        <v>0.0744191975013274</v>
      </c>
      <c r="BL177" s="197" t="n">
        <f aca="false">Algae_yield_cost_factor/T177</f>
        <v>0.0688022153191974</v>
      </c>
      <c r="BM177" s="197" t="n">
        <f aca="false">Algae_yield_cost_factor/U177</f>
        <v>0.0644858571685866</v>
      </c>
      <c r="BN177" s="197" t="n">
        <f aca="false">Algae_yield_cost_factor/V177</f>
        <v>0.0614163533401743</v>
      </c>
      <c r="BO177" s="197" t="n">
        <f aca="false">Algae_yield_cost_factor/W177</f>
        <v>0.0593518554229186</v>
      </c>
      <c r="BP177" s="197" t="n">
        <f aca="false">Algae_yield_cost_factor/X177</f>
        <v>0.0580148485381517</v>
      </c>
      <c r="BQ177" s="197" t="n">
        <f aca="false">Algae_yield_cost_factor/Y177</f>
        <v>0.0571700683311075</v>
      </c>
      <c r="BR177" s="197" t="n">
        <f aca="false">Algae_yield_cost_factor/Z177</f>
        <v>0.0566445877393106</v>
      </c>
      <c r="BS177" s="197" t="n">
        <f aca="false">Algae_yield_cost_factor/AA177</f>
        <v>0.056320897873196</v>
      </c>
      <c r="BT177" s="197" t="n">
        <f aca="false">Algae_yield_cost_factor/AB177</f>
        <v>0.0561227066048662</v>
      </c>
      <c r="BU177" s="197" t="n">
        <f aca="false">Algae_yield_cost_factor/AC177</f>
        <v>0.0560018039887895</v>
      </c>
    </row>
    <row r="178" customFormat="false" ht="15" hidden="false" customHeight="false" outlineLevel="0" collapsed="false">
      <c r="A178" s="18" t="s">
        <v>716</v>
      </c>
      <c r="B178" s="18" t="s">
        <v>22</v>
      </c>
      <c r="C178" s="18" t="s">
        <v>688</v>
      </c>
      <c r="D178" s="18" t="s">
        <v>688</v>
      </c>
      <c r="E178" s="28" t="n">
        <v>6.514885</v>
      </c>
      <c r="F178" s="185" t="n">
        <f aca="false">E178/$B$2*$F$3/1000</f>
        <v>0.01596146825</v>
      </c>
      <c r="G178" s="18" t="n">
        <f aca="false">LOOKUP(RIGHT(D178,5),Ref!$C$4:$C$21,Ref!$E$4:$E$21)*$G$3</f>
        <v>4.5</v>
      </c>
      <c r="H178" s="218" t="n">
        <f aca="false">$E178</f>
        <v>6.514885</v>
      </c>
      <c r="I178" s="177" t="n">
        <f aca="false">$E178</f>
        <v>6.514885</v>
      </c>
      <c r="J178" s="177" t="n">
        <f aca="false">$E178</f>
        <v>6.514885</v>
      </c>
      <c r="K178" s="177" t="n">
        <f aca="false">$E178</f>
        <v>6.514885</v>
      </c>
      <c r="L178" s="177" t="n">
        <f aca="false">$E178</f>
        <v>6.514885</v>
      </c>
      <c r="M178" s="177" t="n">
        <f aca="false">M$3*$E178</f>
        <v>6.82385910977643</v>
      </c>
      <c r="N178" s="177" t="n">
        <f aca="false">N$3*$E178</f>
        <v>7.0090923191477</v>
      </c>
      <c r="O178" s="177" t="n">
        <f aca="false">O$3*$E178</f>
        <v>7.29147832863806</v>
      </c>
      <c r="P178" s="177" t="n">
        <f aca="false">P$3*$E178</f>
        <v>7.70336630866317</v>
      </c>
      <c r="Q178" s="177" t="n">
        <f aca="false">Q$3*$E178</f>
        <v>8.26700743196206</v>
      </c>
      <c r="R178" s="177" t="n">
        <f aca="false">R$3*$E178</f>
        <v>8.97451904004301</v>
      </c>
      <c r="S178" s="177" t="n">
        <f aca="false">S$3*$E178</f>
        <v>9.7723275</v>
      </c>
      <c r="T178" s="177" t="n">
        <f aca="false">T$3*$E178</f>
        <v>10.570135959957</v>
      </c>
      <c r="U178" s="177" t="n">
        <f aca="false">U$3*$E178</f>
        <v>11.2776475680379</v>
      </c>
      <c r="V178" s="177" t="n">
        <f aca="false">V$3*$E178</f>
        <v>11.8412886913368</v>
      </c>
      <c r="W178" s="177" t="n">
        <f aca="false">W$3*$E178</f>
        <v>12.2531766713619</v>
      </c>
      <c r="X178" s="177" t="n">
        <f aca="false">X$3*$E178</f>
        <v>12.5355626808523</v>
      </c>
      <c r="Y178" s="177" t="n">
        <f aca="false">Y$3*$E178</f>
        <v>12.7207958902236</v>
      </c>
      <c r="Z178" s="177" t="n">
        <f aca="false">Z$3*$E178</f>
        <v>12.8388041875615</v>
      </c>
      <c r="AA178" s="177" t="n">
        <f aca="false">AA$3*$E178</f>
        <v>12.9125919105111</v>
      </c>
      <c r="AB178" s="177" t="n">
        <f aca="false">AB$3*$E178</f>
        <v>12.9581913322601</v>
      </c>
      <c r="AC178" s="177" t="n">
        <f aca="false">AC$3*$E178</f>
        <v>12.9861668459061</v>
      </c>
      <c r="AD178" s="219" t="n">
        <f aca="false">Algae_electricity_factor/H178</f>
        <v>0.00210956864219848</v>
      </c>
      <c r="AE178" s="220" t="n">
        <f aca="false">Algae_electricity_factor/I178</f>
        <v>0.00210956864219848</v>
      </c>
      <c r="AF178" s="220" t="n">
        <f aca="false">Algae_electricity_factor/J178</f>
        <v>0.00210956864219848</v>
      </c>
      <c r="AG178" s="220" t="n">
        <f aca="false">Algae_electricity_factor/K178</f>
        <v>0.00210956864219848</v>
      </c>
      <c r="AH178" s="220" t="n">
        <f aca="false">Algae_electricity_factor/L178</f>
        <v>0.00210956864219848</v>
      </c>
      <c r="AI178" s="220" t="n">
        <f aca="false">Algae_electricity_factor/M178</f>
        <v>0.00201405053686396</v>
      </c>
      <c r="AJ178" s="220" t="n">
        <f aca="false">Algae_electricity_factor/N178</f>
        <v>0.00196082409500928</v>
      </c>
      <c r="AK178" s="220" t="n">
        <f aca="false">Algae_electricity_factor/O178</f>
        <v>0.00188488485929524</v>
      </c>
      <c r="AL178" s="220" t="n">
        <f aca="false">Algae_electricity_factor/P178</f>
        <v>0.00178410276142175</v>
      </c>
      <c r="AM178" s="220" t="n">
        <f aca="false">Algae_electricity_factor/Q178</f>
        <v>0.00166246337827078</v>
      </c>
      <c r="AN178" s="220" t="n">
        <f aca="false">Algae_electricity_factor/R178</f>
        <v>0.00153140207761634</v>
      </c>
      <c r="AO178" s="220" t="n">
        <f aca="false">Algae_electricity_factor/S178</f>
        <v>0.00140637909479899</v>
      </c>
      <c r="AP178" s="220" t="n">
        <f aca="false">Algae_electricity_factor/T178</f>
        <v>0.00130022898055374</v>
      </c>
      <c r="AQ178" s="220" t="n">
        <f aca="false">Algae_electricity_factor/U178</f>
        <v>0.00121865814839613</v>
      </c>
      <c r="AR178" s="220" t="n">
        <f aca="false">Algae_electricity_factor/V178</f>
        <v>0.00116065045467426</v>
      </c>
      <c r="AS178" s="220" t="n">
        <f aca="false">Algae_electricity_factor/W178</f>
        <v>0.00112163543154085</v>
      </c>
      <c r="AT178" s="220" t="n">
        <f aca="false">Algae_electricity_factor/X178</f>
        <v>0.00109636858379897</v>
      </c>
      <c r="AU178" s="220" t="n">
        <f aca="false">Algae_electricity_factor/Y178</f>
        <v>0.00108040386954811</v>
      </c>
      <c r="AV178" s="220" t="n">
        <f aca="false">Algae_electricity_factor/Z178</f>
        <v>0.00107047330130982</v>
      </c>
      <c r="AW178" s="220" t="n">
        <f aca="false">Algae_electricity_factor/AA178</f>
        <v>0.00106435618803547</v>
      </c>
      <c r="AX178" s="220" t="n">
        <f aca="false">Algae_electricity_factor/AB178</f>
        <v>0.00106061075586327</v>
      </c>
      <c r="AY178" s="220" t="n">
        <f aca="false">Algae_electricity_factor/AC178</f>
        <v>0.00105832592993843</v>
      </c>
      <c r="AZ178" s="221" t="n">
        <f aca="false">Algae_yield_cost_factor/H178</f>
        <v>0.116785272385655</v>
      </c>
      <c r="BA178" s="197" t="n">
        <f aca="false">Algae_yield_cost_factor/I178</f>
        <v>0.116785272385655</v>
      </c>
      <c r="BB178" s="197" t="n">
        <f aca="false">Algae_yield_cost_factor/J178</f>
        <v>0.116785272385655</v>
      </c>
      <c r="BC178" s="197" t="n">
        <f aca="false">Algae_yield_cost_factor/K178</f>
        <v>0.116785272385655</v>
      </c>
      <c r="BD178" s="197" t="n">
        <f aca="false">Algae_yield_cost_factor/L178</f>
        <v>0.116785272385655</v>
      </c>
      <c r="BE178" s="197" t="n">
        <f aca="false">Algae_yield_cost_factor/M178</f>
        <v>0.111497410343096</v>
      </c>
      <c r="BF178" s="197" t="n">
        <f aca="false">Algae_yield_cost_factor/N178</f>
        <v>0.108550805816571</v>
      </c>
      <c r="BG178" s="197" t="n">
        <f aca="false">Algae_yield_cost_factor/O178</f>
        <v>0.104346825841603</v>
      </c>
      <c r="BH178" s="197" t="n">
        <f aca="false">Algae_yield_cost_factor/P178</f>
        <v>0.098767550289096</v>
      </c>
      <c r="BI178" s="197" t="n">
        <f aca="false">Algae_yield_cost_factor/Q178</f>
        <v>0.0920336198495037</v>
      </c>
      <c r="BJ178" s="197" t="n">
        <f aca="false">Algae_yield_cost_factor/R178</f>
        <v>0.0847780940562328</v>
      </c>
      <c r="BK178" s="197" t="n">
        <f aca="false">Algae_yield_cost_factor/S178</f>
        <v>0.0778568482571033</v>
      </c>
      <c r="BL178" s="197" t="n">
        <f aca="false">Algae_yield_cost_factor/T178</f>
        <v>0.0719804004573384</v>
      </c>
      <c r="BM178" s="197" t="n">
        <f aca="false">Algae_yield_cost_factor/U178</f>
        <v>0.067464656498269</v>
      </c>
      <c r="BN178" s="197" t="n">
        <f aca="false">Algae_yield_cost_factor/V178</f>
        <v>0.0642533628829484</v>
      </c>
      <c r="BO178" s="197" t="n">
        <f aca="false">Algae_yield_cost_factor/W178</f>
        <v>0.0620934994811962</v>
      </c>
      <c r="BP178" s="197" t="n">
        <f aca="false">Algae_yield_cost_factor/X178</f>
        <v>0.060694732151783</v>
      </c>
      <c r="BQ178" s="197" t="n">
        <f aca="false">Algae_yield_cost_factor/Y178</f>
        <v>0.0598109289585375</v>
      </c>
      <c r="BR178" s="197" t="n">
        <f aca="false">Algae_yield_cost_factor/Z178</f>
        <v>0.0592611748081134</v>
      </c>
      <c r="BS178" s="197" t="n">
        <f aca="false">Algae_yield_cost_factor/AA178</f>
        <v>0.0589225327152851</v>
      </c>
      <c r="BT178" s="197" t="n">
        <f aca="false">Algae_yield_cost_factor/AB178</f>
        <v>0.0587151863850058</v>
      </c>
      <c r="BU178" s="197" t="n">
        <f aca="false">Algae_yield_cost_factor/AC178</f>
        <v>0.0585886989066425</v>
      </c>
    </row>
    <row r="179" customFormat="false" ht="15" hidden="false" customHeight="false" outlineLevel="0" collapsed="false">
      <c r="A179" s="18" t="s">
        <v>717</v>
      </c>
      <c r="B179" s="18" t="s">
        <v>22</v>
      </c>
      <c r="C179" s="18" t="s">
        <v>692</v>
      </c>
      <c r="D179" s="18" t="s">
        <v>692</v>
      </c>
      <c r="E179" s="28" t="n">
        <v>3.706867</v>
      </c>
      <c r="F179" s="185" t="n">
        <f aca="false">E179/$B$2*$F$3/1000</f>
        <v>0.00908182415</v>
      </c>
      <c r="G179" s="18" t="n">
        <f aca="false">LOOKUP(RIGHT(D179,5),Ref!$C$4:$C$21,Ref!$E$4:$E$21)*$G$3</f>
        <v>2.5</v>
      </c>
      <c r="H179" s="218" t="n">
        <f aca="false">$E179</f>
        <v>3.706867</v>
      </c>
      <c r="I179" s="177" t="n">
        <f aca="false">$E179</f>
        <v>3.706867</v>
      </c>
      <c r="J179" s="177" t="n">
        <f aca="false">$E179</f>
        <v>3.706867</v>
      </c>
      <c r="K179" s="177" t="n">
        <f aca="false">$E179</f>
        <v>3.706867</v>
      </c>
      <c r="L179" s="177" t="n">
        <f aca="false">$E179</f>
        <v>3.706867</v>
      </c>
      <c r="M179" s="177" t="n">
        <f aca="false">M$3*$E179</f>
        <v>3.88266840422811</v>
      </c>
      <c r="N179" s="177" t="n">
        <f aca="false">N$3*$E179</f>
        <v>3.98806318420081</v>
      </c>
      <c r="O179" s="177" t="n">
        <f aca="false">O$3*$E179</f>
        <v>4.14873637794736</v>
      </c>
      <c r="P179" s="177" t="n">
        <f aca="false">P$3*$E179</f>
        <v>4.3830941541555</v>
      </c>
      <c r="Q179" s="177" t="n">
        <f aca="false">Q$3*$E179</f>
        <v>4.70379707980953</v>
      </c>
      <c r="R179" s="177" t="n">
        <f aca="false">R$3*$E179</f>
        <v>5.10636004632578</v>
      </c>
      <c r="S179" s="177" t="n">
        <f aca="false">S$3*$E179</f>
        <v>5.5603005</v>
      </c>
      <c r="T179" s="177" t="n">
        <f aca="false">T$3*$E179</f>
        <v>6.01424095367423</v>
      </c>
      <c r="U179" s="177" t="n">
        <f aca="false">U$3*$E179</f>
        <v>6.41680392019047</v>
      </c>
      <c r="V179" s="177" t="n">
        <f aca="false">V$3*$E179</f>
        <v>6.7375068458445</v>
      </c>
      <c r="W179" s="177" t="n">
        <f aca="false">W$3*$E179</f>
        <v>6.97186462205264</v>
      </c>
      <c r="X179" s="177" t="n">
        <f aca="false">X$3*$E179</f>
        <v>7.13253781579919</v>
      </c>
      <c r="Y179" s="177" t="n">
        <f aca="false">Y$3*$E179</f>
        <v>7.23793259577189</v>
      </c>
      <c r="Z179" s="177" t="n">
        <f aca="false">Z$3*$E179</f>
        <v>7.30507745913141</v>
      </c>
      <c r="AA179" s="177" t="n">
        <f aca="false">AA$3*$E179</f>
        <v>7.34706151183645</v>
      </c>
      <c r="AB179" s="177" t="n">
        <f aca="false">AB$3*$E179</f>
        <v>7.37300686493176</v>
      </c>
      <c r="AC179" s="177" t="n">
        <f aca="false">AC$3*$E179</f>
        <v>7.38892449177285</v>
      </c>
      <c r="AD179" s="219" t="n">
        <f aca="false">Algae_electricity_factor/H179</f>
        <v>0.00370760458994867</v>
      </c>
      <c r="AE179" s="220" t="n">
        <f aca="false">Algae_electricity_factor/I179</f>
        <v>0.00370760458994867</v>
      </c>
      <c r="AF179" s="220" t="n">
        <f aca="false">Algae_electricity_factor/J179</f>
        <v>0.00370760458994867</v>
      </c>
      <c r="AG179" s="220" t="n">
        <f aca="false">Algae_electricity_factor/K179</f>
        <v>0.00370760458994867</v>
      </c>
      <c r="AH179" s="220" t="n">
        <f aca="false">Algae_electricity_factor/L179</f>
        <v>0.00370760458994867</v>
      </c>
      <c r="AI179" s="220" t="n">
        <f aca="false">Algae_electricity_factor/M179</f>
        <v>0.0035397298127656</v>
      </c>
      <c r="AJ179" s="220" t="n">
        <f aca="false">Algae_electricity_factor/N179</f>
        <v>0.00344618338996638</v>
      </c>
      <c r="AK179" s="220" t="n">
        <f aca="false">Algae_electricity_factor/O179</f>
        <v>0.00331271882604628</v>
      </c>
      <c r="AL179" s="220" t="n">
        <f aca="false">Algae_electricity_factor/P179</f>
        <v>0.0031355924879002</v>
      </c>
      <c r="AM179" s="220" t="n">
        <f aca="false">Algae_electricity_factor/Q179</f>
        <v>0.00292180909812669</v>
      </c>
      <c r="AN179" s="220" t="n">
        <f aca="false">Algae_electricity_factor/R179</f>
        <v>0.00269146651995648</v>
      </c>
      <c r="AO179" s="220" t="n">
        <f aca="false">Algae_electricity_factor/S179</f>
        <v>0.00247173639329911</v>
      </c>
      <c r="AP179" s="220" t="n">
        <f aca="false">Algae_electricity_factor/T179</f>
        <v>0.00228517567044483</v>
      </c>
      <c r="AQ179" s="220" t="n">
        <f aca="false">Algae_electricity_factor/U179</f>
        <v>0.00214181347512974</v>
      </c>
      <c r="AR179" s="220" t="n">
        <f aca="false">Algae_electricity_factor/V179</f>
        <v>0.0020398639167255</v>
      </c>
      <c r="AS179" s="220" t="n">
        <f aca="false">Algae_electricity_factor/W179</f>
        <v>0.00197129431630916</v>
      </c>
      <c r="AT179" s="220" t="n">
        <f aca="false">Algae_electricity_factor/X179</f>
        <v>0.0019268873798448</v>
      </c>
      <c r="AU179" s="220" t="n">
        <f aca="false">Algae_electricity_factor/Y179</f>
        <v>0.00189882910923455</v>
      </c>
      <c r="AV179" s="220" t="n">
        <f aca="false">Algae_electricity_factor/Z179</f>
        <v>0.001881375958081</v>
      </c>
      <c r="AW179" s="220" t="n">
        <f aca="false">Algae_electricity_factor/AA179</f>
        <v>0.00187062502217896</v>
      </c>
      <c r="AX179" s="220" t="n">
        <f aca="false">Algae_electricity_factor/AB179</f>
        <v>0.0018640423581996</v>
      </c>
      <c r="AY179" s="220" t="n">
        <f aca="false">Algae_electricity_factor/AC179</f>
        <v>0.00186002673580329</v>
      </c>
      <c r="AZ179" s="221" t="n">
        <f aca="false">Algae_yield_cost_factor/H179</f>
        <v>0.205252203352917</v>
      </c>
      <c r="BA179" s="197" t="n">
        <f aca="false">Algae_yield_cost_factor/I179</f>
        <v>0.205252203352917</v>
      </c>
      <c r="BB179" s="197" t="n">
        <f aca="false">Algae_yield_cost_factor/J179</f>
        <v>0.205252203352917</v>
      </c>
      <c r="BC179" s="197" t="n">
        <f aca="false">Algae_yield_cost_factor/K179</f>
        <v>0.205252203352917</v>
      </c>
      <c r="BD179" s="197" t="n">
        <f aca="false">Algae_yield_cost_factor/L179</f>
        <v>0.205252203352917</v>
      </c>
      <c r="BE179" s="197" t="n">
        <f aca="false">Algae_yield_cost_factor/M179</f>
        <v>0.195958691310771</v>
      </c>
      <c r="BF179" s="197" t="n">
        <f aca="false">Algae_yield_cost_factor/N179</f>
        <v>0.190779981194979</v>
      </c>
      <c r="BG179" s="197" t="n">
        <f aca="false">Algae_yield_cost_factor/O179</f>
        <v>0.183391411257288</v>
      </c>
      <c r="BH179" s="197" t="n">
        <f aca="false">Algae_yield_cost_factor/P179</f>
        <v>0.173585734763394</v>
      </c>
      <c r="BI179" s="197" t="n">
        <f aca="false">Algae_yield_cost_factor/Q179</f>
        <v>0.161750731669961</v>
      </c>
      <c r="BJ179" s="197" t="n">
        <f aca="false">Algae_yield_cost_factor/R179</f>
        <v>0.148999015420715</v>
      </c>
      <c r="BK179" s="197" t="n">
        <f aca="false">Algae_yield_cost_factor/S179</f>
        <v>0.136834802235278</v>
      </c>
      <c r="BL179" s="197" t="n">
        <f aca="false">Algae_yield_cost_factor/T179</f>
        <v>0.126506840205895</v>
      </c>
      <c r="BM179" s="197" t="n">
        <f aca="false">Algae_yield_cost_factor/U179</f>
        <v>0.118570339494437</v>
      </c>
      <c r="BN179" s="197" t="n">
        <f aca="false">Algae_yield_cost_factor/V179</f>
        <v>0.112926433574681</v>
      </c>
      <c r="BO179" s="197" t="n">
        <f aca="false">Algae_yield_cost_factor/W179</f>
        <v>0.109130435045971</v>
      </c>
      <c r="BP179" s="197" t="n">
        <f aca="false">Algae_yield_cost_factor/X179</f>
        <v>0.106672076466372</v>
      </c>
      <c r="BQ179" s="197" t="n">
        <f aca="false">Algae_yield_cost_factor/Y179</f>
        <v>0.1051187765593</v>
      </c>
      <c r="BR179" s="197" t="n">
        <f aca="false">Algae_yield_cost_factor/Z179</f>
        <v>0.104152573814965</v>
      </c>
      <c r="BS179" s="197" t="n">
        <f aca="false">Algae_yield_cost_factor/AA179</f>
        <v>0.103557404284756</v>
      </c>
      <c r="BT179" s="197" t="n">
        <f aca="false">Algae_yield_cost_factor/AB179</f>
        <v>0.103192989403687</v>
      </c>
      <c r="BU179" s="197" t="n">
        <f aca="false">Algae_yield_cost_factor/AC179</f>
        <v>0.102970685399935</v>
      </c>
    </row>
    <row r="180" customFormat="false" ht="15" hidden="false" customHeight="false" outlineLevel="0" collapsed="false">
      <c r="A180" s="18" t="s">
        <v>717</v>
      </c>
      <c r="B180" s="18" t="s">
        <v>22</v>
      </c>
      <c r="C180" s="18" t="s">
        <v>693</v>
      </c>
      <c r="D180" s="18" t="s">
        <v>693</v>
      </c>
      <c r="E180" s="28" t="n">
        <v>6.49917175</v>
      </c>
      <c r="F180" s="185" t="n">
        <f aca="false">E180/$B$2*$F$3/1000</f>
        <v>0.0159229707875</v>
      </c>
      <c r="G180" s="18" t="n">
        <f aca="false">LOOKUP(RIGHT(D180,5),Ref!$C$4:$C$21,Ref!$E$4:$E$21)*$G$3</f>
        <v>3</v>
      </c>
      <c r="H180" s="218" t="n">
        <f aca="false">$E180</f>
        <v>6.49917175</v>
      </c>
      <c r="I180" s="177" t="n">
        <f aca="false">$E180</f>
        <v>6.49917175</v>
      </c>
      <c r="J180" s="177" t="n">
        <f aca="false">$E180</f>
        <v>6.49917175</v>
      </c>
      <c r="K180" s="177" t="n">
        <f aca="false">$E180</f>
        <v>6.49917175</v>
      </c>
      <c r="L180" s="177" t="n">
        <f aca="false">$E180</f>
        <v>6.49917175</v>
      </c>
      <c r="M180" s="177" t="n">
        <f aca="false">M$3*$E180</f>
        <v>6.80740064517472</v>
      </c>
      <c r="N180" s="177" t="n">
        <f aca="false">N$3*$E180</f>
        <v>6.99218709060048</v>
      </c>
      <c r="O180" s="177" t="n">
        <f aca="false">O$3*$E180</f>
        <v>7.2738920133236</v>
      </c>
      <c r="P180" s="177" t="n">
        <f aca="false">P$3*$E180</f>
        <v>7.68478656080122</v>
      </c>
      <c r="Q180" s="177" t="n">
        <f aca="false">Q$3*$E180</f>
        <v>8.24706823817272</v>
      </c>
      <c r="R180" s="177" t="n">
        <f aca="false">R$3*$E180</f>
        <v>8.95287339912901</v>
      </c>
      <c r="S180" s="177" t="n">
        <f aca="false">S$3*$E180</f>
        <v>9.748757625</v>
      </c>
      <c r="T180" s="177" t="n">
        <f aca="false">T$3*$E180</f>
        <v>10.544641850871</v>
      </c>
      <c r="U180" s="177" t="n">
        <f aca="false">U$3*$E180</f>
        <v>11.2504470118273</v>
      </c>
      <c r="V180" s="177" t="n">
        <f aca="false">V$3*$E180</f>
        <v>11.8127286891988</v>
      </c>
      <c r="W180" s="177" t="n">
        <f aca="false">W$3*$E180</f>
        <v>12.2236232366764</v>
      </c>
      <c r="X180" s="177" t="n">
        <f aca="false">X$3*$E180</f>
        <v>12.5053281593995</v>
      </c>
      <c r="Y180" s="177" t="n">
        <f aca="false">Y$3*$E180</f>
        <v>12.6901146048253</v>
      </c>
      <c r="Z180" s="177" t="n">
        <f aca="false">Z$3*$E180</f>
        <v>12.8078382779713</v>
      </c>
      <c r="AA180" s="177" t="n">
        <f aca="false">AA$3*$E180</f>
        <v>12.8814480323248</v>
      </c>
      <c r="AB180" s="177" t="n">
        <f aca="false">AB$3*$E180</f>
        <v>12.9269374728364</v>
      </c>
      <c r="AC180" s="177" t="n">
        <f aca="false">AC$3*$E180</f>
        <v>12.9548455123459</v>
      </c>
      <c r="AD180" s="219" t="n">
        <f aca="false">Algae_electricity_factor/H180</f>
        <v>0.0021146690120213</v>
      </c>
      <c r="AE180" s="220" t="n">
        <f aca="false">Algae_electricity_factor/I180</f>
        <v>0.0021146690120213</v>
      </c>
      <c r="AF180" s="220" t="n">
        <f aca="false">Algae_electricity_factor/J180</f>
        <v>0.0021146690120213</v>
      </c>
      <c r="AG180" s="220" t="n">
        <f aca="false">Algae_electricity_factor/K180</f>
        <v>0.0021146690120213</v>
      </c>
      <c r="AH180" s="220" t="n">
        <f aca="false">Algae_electricity_factor/L180</f>
        <v>0.0021146690120213</v>
      </c>
      <c r="AI180" s="220" t="n">
        <f aca="false">Algae_electricity_factor/M180</f>
        <v>0.00201891996958797</v>
      </c>
      <c r="AJ180" s="220" t="n">
        <f aca="false">Algae_electricity_factor/N180</f>
        <v>0.00196556484050672</v>
      </c>
      <c r="AK180" s="220" t="n">
        <f aca="false">Algae_electricity_factor/O180</f>
        <v>0.00188944200413686</v>
      </c>
      <c r="AL180" s="220" t="n">
        <f aca="false">Algae_electricity_factor/P180</f>
        <v>0.00178841624224581</v>
      </c>
      <c r="AM180" s="220" t="n">
        <f aca="false">Algae_electricity_factor/Q180</f>
        <v>0.00166648276776892</v>
      </c>
      <c r="AN180" s="220" t="n">
        <f aca="false">Algae_electricity_factor/R180</f>
        <v>0.00153510459612512</v>
      </c>
      <c r="AO180" s="220" t="n">
        <f aca="false">Algae_electricity_factor/S180</f>
        <v>0.00140977934134754</v>
      </c>
      <c r="AP180" s="220" t="n">
        <f aca="false">Algae_electricity_factor/T180</f>
        <v>0.00130337258466432</v>
      </c>
      <c r="AQ180" s="220" t="n">
        <f aca="false">Algae_electricity_factor/U180</f>
        <v>0.00122160453616474</v>
      </c>
      <c r="AR180" s="220" t="n">
        <f aca="false">Algae_electricity_factor/V180</f>
        <v>0.00116345659543472</v>
      </c>
      <c r="AS180" s="220" t="n">
        <f aca="false">Algae_electricity_factor/W180</f>
        <v>0.00112434724446449</v>
      </c>
      <c r="AT180" s="220" t="n">
        <f aca="false">Algae_electricity_factor/X180</f>
        <v>0.00109901930827773</v>
      </c>
      <c r="AU180" s="220" t="n">
        <f aca="false">Algae_electricity_factor/Y180</f>
        <v>0.0010830159956399</v>
      </c>
      <c r="AV180" s="220" t="n">
        <f aca="false">Algae_electricity_factor/Z180</f>
        <v>0.00107306141795742</v>
      </c>
      <c r="AW180" s="220" t="n">
        <f aca="false">Algae_electricity_factor/AA180</f>
        <v>0.00106692951514775</v>
      </c>
      <c r="AX180" s="220" t="n">
        <f aca="false">Algae_electricity_factor/AB180</f>
        <v>0.00106317502752751</v>
      </c>
      <c r="AY180" s="220" t="n">
        <f aca="false">Algae_electricity_factor/AC180</f>
        <v>0.00106088467750786</v>
      </c>
      <c r="AZ180" s="221" t="n">
        <f aca="false">Algae_yield_cost_factor/H180</f>
        <v>0.117067627776758</v>
      </c>
      <c r="BA180" s="197" t="n">
        <f aca="false">Algae_yield_cost_factor/I180</f>
        <v>0.117067627776758</v>
      </c>
      <c r="BB180" s="197" t="n">
        <f aca="false">Algae_yield_cost_factor/J180</f>
        <v>0.117067627776758</v>
      </c>
      <c r="BC180" s="197" t="n">
        <f aca="false">Algae_yield_cost_factor/K180</f>
        <v>0.117067627776758</v>
      </c>
      <c r="BD180" s="197" t="n">
        <f aca="false">Algae_yield_cost_factor/L180</f>
        <v>0.117067627776758</v>
      </c>
      <c r="BE180" s="197" t="n">
        <f aca="false">Algae_yield_cost_factor/M180</f>
        <v>0.111766981105413</v>
      </c>
      <c r="BF180" s="197" t="n">
        <f aca="false">Algae_yield_cost_factor/N180</f>
        <v>0.108813252481332</v>
      </c>
      <c r="BG180" s="197" t="n">
        <f aca="false">Algae_yield_cost_factor/O180</f>
        <v>0.104599108413018</v>
      </c>
      <c r="BH180" s="197" t="n">
        <f aca="false">Algae_yield_cost_factor/P180</f>
        <v>0.0990063436722036</v>
      </c>
      <c r="BI180" s="197" t="n">
        <f aca="false">Algae_yield_cost_factor/Q180</f>
        <v>0.0922561323992144</v>
      </c>
      <c r="BJ180" s="197" t="n">
        <f aca="false">Algae_yield_cost_factor/R180</f>
        <v>0.0849830646952113</v>
      </c>
      <c r="BK180" s="197" t="n">
        <f aca="false">Algae_yield_cost_factor/S180</f>
        <v>0.078045085184505</v>
      </c>
      <c r="BL180" s="197" t="n">
        <f aca="false">Algae_yield_cost_factor/T180</f>
        <v>0.0721544297138335</v>
      </c>
      <c r="BM180" s="197" t="n">
        <f aca="false">Algae_yield_cost_factor/U180</f>
        <v>0.0676277678999212</v>
      </c>
      <c r="BN180" s="197" t="n">
        <f aca="false">Algae_yield_cost_factor/V180</f>
        <v>0.0644087102399897</v>
      </c>
      <c r="BO180" s="197" t="n">
        <f aca="false">Algae_yield_cost_factor/W180</f>
        <v>0.0622436248692078</v>
      </c>
      <c r="BP180" s="197" t="n">
        <f aca="false">Algae_yield_cost_factor/X180</f>
        <v>0.0608414756964484</v>
      </c>
      <c r="BQ180" s="197" t="n">
        <f aca="false">Algae_yield_cost_factor/Y180</f>
        <v>0.0599555357046906</v>
      </c>
      <c r="BR180" s="197" t="n">
        <f aca="false">Algae_yield_cost_factor/Z180</f>
        <v>0.0594044523965313</v>
      </c>
      <c r="BS180" s="197" t="n">
        <f aca="false">Algae_yield_cost_factor/AA180</f>
        <v>0.0590649915581659</v>
      </c>
      <c r="BT180" s="197" t="n">
        <f aca="false">Algae_yield_cost_factor/AB180</f>
        <v>0.0588571439202047</v>
      </c>
      <c r="BU180" s="197" t="n">
        <f aca="false">Algae_yield_cost_factor/AC180</f>
        <v>0.0587303506291246</v>
      </c>
    </row>
    <row r="181" customFormat="false" ht="15" hidden="false" customHeight="false" outlineLevel="0" collapsed="false">
      <c r="A181" s="18" t="s">
        <v>717</v>
      </c>
      <c r="B181" s="18" t="s">
        <v>22</v>
      </c>
      <c r="C181" s="18" t="s">
        <v>694</v>
      </c>
      <c r="D181" s="18" t="s">
        <v>694</v>
      </c>
      <c r="E181" s="28" t="n">
        <v>5.364405</v>
      </c>
      <c r="F181" s="185" t="n">
        <f aca="false">E181/$B$2*$F$3/1000</f>
        <v>0.01314279225</v>
      </c>
      <c r="G181" s="18" t="n">
        <f aca="false">LOOKUP(RIGHT(D181,5),Ref!$C$4:$C$21,Ref!$E$4:$E$21)*$G$3</f>
        <v>3</v>
      </c>
      <c r="H181" s="218" t="n">
        <f aca="false">$E181</f>
        <v>5.364405</v>
      </c>
      <c r="I181" s="177" t="n">
        <f aca="false">$E181</f>
        <v>5.364405</v>
      </c>
      <c r="J181" s="177" t="n">
        <f aca="false">$E181</f>
        <v>5.364405</v>
      </c>
      <c r="K181" s="177" t="n">
        <f aca="false">$E181</f>
        <v>5.364405</v>
      </c>
      <c r="L181" s="177" t="n">
        <f aca="false">$E181</f>
        <v>5.364405</v>
      </c>
      <c r="M181" s="177" t="n">
        <f aca="false">M$3*$E181</f>
        <v>5.61881659120311</v>
      </c>
      <c r="N181" s="177" t="n">
        <f aca="false">N$3*$E181</f>
        <v>5.77133900019686</v>
      </c>
      <c r="O181" s="177" t="n">
        <f aca="false">O$3*$E181</f>
        <v>6.00385775091006</v>
      </c>
      <c r="P181" s="177" t="n">
        <f aca="false">P$3*$E181</f>
        <v>6.34300939203444</v>
      </c>
      <c r="Q181" s="177" t="n">
        <f aca="false">Q$3*$E181</f>
        <v>6.80711570550431</v>
      </c>
      <c r="R181" s="177" t="n">
        <f aca="false">R$3*$E181</f>
        <v>7.38968605140412</v>
      </c>
      <c r="S181" s="177" t="n">
        <f aca="false">S$3*$E181</f>
        <v>8.0466075</v>
      </c>
      <c r="T181" s="177" t="n">
        <f aca="false">T$3*$E181</f>
        <v>8.70352894859588</v>
      </c>
      <c r="U181" s="177" t="n">
        <f aca="false">U$3*$E181</f>
        <v>9.28609929449569</v>
      </c>
      <c r="V181" s="177" t="n">
        <f aca="false">V$3*$E181</f>
        <v>9.75020560796556</v>
      </c>
      <c r="W181" s="177" t="n">
        <f aca="false">W$3*$E181</f>
        <v>10.0893572490899</v>
      </c>
      <c r="X181" s="177" t="n">
        <f aca="false">X$3*$E181</f>
        <v>10.3218759998031</v>
      </c>
      <c r="Y181" s="177" t="n">
        <f aca="false">Y$3*$E181</f>
        <v>10.4743984087969</v>
      </c>
      <c r="Z181" s="177" t="n">
        <f aca="false">Z$3*$E181</f>
        <v>10.5715673227963</v>
      </c>
      <c r="AA181" s="177" t="n">
        <f aca="false">AA$3*$E181</f>
        <v>10.6323246853483</v>
      </c>
      <c r="AB181" s="177" t="n">
        <f aca="false">AB$3*$E181</f>
        <v>10.6698715900177</v>
      </c>
      <c r="AC181" s="177" t="n">
        <f aca="false">AC$3*$E181</f>
        <v>10.6929068370375</v>
      </c>
      <c r="AD181" s="219" t="n">
        <f aca="false">Algae_electricity_factor/H181</f>
        <v>0.00256199841427507</v>
      </c>
      <c r="AE181" s="220" t="n">
        <f aca="false">Algae_electricity_factor/I181</f>
        <v>0.00256199841427507</v>
      </c>
      <c r="AF181" s="220" t="n">
        <f aca="false">Algae_electricity_factor/J181</f>
        <v>0.00256199841427507</v>
      </c>
      <c r="AG181" s="220" t="n">
        <f aca="false">Algae_electricity_factor/K181</f>
        <v>0.00256199841427507</v>
      </c>
      <c r="AH181" s="220" t="n">
        <f aca="false">Algae_electricity_factor/L181</f>
        <v>0.00256199841427507</v>
      </c>
      <c r="AI181" s="220" t="n">
        <f aca="false">Algae_electricity_factor/M181</f>
        <v>0.00244599496716914</v>
      </c>
      <c r="AJ181" s="220" t="n">
        <f aca="false">Algae_electricity_factor/N181</f>
        <v>0.00238135328786967</v>
      </c>
      <c r="AK181" s="220" t="n">
        <f aca="false">Algae_electricity_factor/O181</f>
        <v>0.00228912770317485</v>
      </c>
      <c r="AL181" s="220" t="n">
        <f aca="false">Algae_electricity_factor/P181</f>
        <v>0.00216673131854235</v>
      </c>
      <c r="AM181" s="220" t="n">
        <f aca="false">Algae_electricity_factor/Q181</f>
        <v>0.00201900447974111</v>
      </c>
      <c r="AN181" s="220" t="n">
        <f aca="false">Algae_electricity_factor/R181</f>
        <v>0.00185983504683773</v>
      </c>
      <c r="AO181" s="220" t="n">
        <f aca="false">Algae_electricity_factor/S181</f>
        <v>0.00170799894285005</v>
      </c>
      <c r="AP181" s="220" t="n">
        <f aca="false">Algae_electricity_factor/T181</f>
        <v>0.00157908328733099</v>
      </c>
      <c r="AQ181" s="220" t="n">
        <f aca="false">Algae_electricity_factor/U181</f>
        <v>0.00148001832283613</v>
      </c>
      <c r="AR181" s="220" t="n">
        <f aca="false">Algae_electricity_factor/V181</f>
        <v>0.00140956997791936</v>
      </c>
      <c r="AS181" s="220" t="n">
        <f aca="false">Algae_electricity_factor/W181</f>
        <v>0.00136218757689138</v>
      </c>
      <c r="AT181" s="220" t="n">
        <f aca="false">Algae_electricity_factor/X181</f>
        <v>0.00133150186107558</v>
      </c>
      <c r="AU181" s="220" t="n">
        <f aca="false">Algae_electricity_factor/Y181</f>
        <v>0.00131211326580692</v>
      </c>
      <c r="AV181" s="220" t="n">
        <f aca="false">Algae_electricity_factor/Z181</f>
        <v>0.00130005293291685</v>
      </c>
      <c r="AW181" s="220" t="n">
        <f aca="false">Algae_electricity_factor/AA181</f>
        <v>0.0012926239096581</v>
      </c>
      <c r="AX181" s="220" t="n">
        <f aca="false">Algae_electricity_factor/AB181</f>
        <v>0.0012880752113631</v>
      </c>
      <c r="AY181" s="220" t="n">
        <f aca="false">Algae_electricity_factor/AC181</f>
        <v>0.00128530036901892</v>
      </c>
      <c r="AZ181" s="221" t="n">
        <f aca="false">Algae_yield_cost_factor/H181</f>
        <v>0.141831688563078</v>
      </c>
      <c r="BA181" s="197" t="n">
        <f aca="false">Algae_yield_cost_factor/I181</f>
        <v>0.141831688563078</v>
      </c>
      <c r="BB181" s="197" t="n">
        <f aca="false">Algae_yield_cost_factor/J181</f>
        <v>0.141831688563078</v>
      </c>
      <c r="BC181" s="197" t="n">
        <f aca="false">Algae_yield_cost_factor/K181</f>
        <v>0.141831688563078</v>
      </c>
      <c r="BD181" s="197" t="n">
        <f aca="false">Algae_yield_cost_factor/L181</f>
        <v>0.141831688563078</v>
      </c>
      <c r="BE181" s="197" t="n">
        <f aca="false">Algae_yield_cost_factor/M181</f>
        <v>0.135409762347004</v>
      </c>
      <c r="BF181" s="197" t="n">
        <f aca="false">Algae_yield_cost_factor/N181</f>
        <v>0.131831212697827</v>
      </c>
      <c r="BG181" s="197" t="n">
        <f aca="false">Algae_yield_cost_factor/O181</f>
        <v>0.126725623899216</v>
      </c>
      <c r="BH181" s="197" t="n">
        <f aca="false">Algae_yield_cost_factor/P181</f>
        <v>0.11994978601824</v>
      </c>
      <c r="BI181" s="197" t="n">
        <f aca="false">Algae_yield_cost_factor/Q181</f>
        <v>0.111771659569558</v>
      </c>
      <c r="BJ181" s="197" t="n">
        <f aca="false">Algae_yield_cost_factor/R181</f>
        <v>0.102960073539477</v>
      </c>
      <c r="BK181" s="197" t="n">
        <f aca="false">Algae_yield_cost_factor/S181</f>
        <v>0.0945544590420519</v>
      </c>
      <c r="BL181" s="197" t="n">
        <f aca="false">Algae_yield_cost_factor/T181</f>
        <v>0.087417715708174</v>
      </c>
      <c r="BM181" s="197" t="n">
        <f aca="false">Algae_yield_cost_factor/U181</f>
        <v>0.0819335002951352</v>
      </c>
      <c r="BN181" s="197" t="n">
        <f aca="false">Algae_yield_cost_factor/V181</f>
        <v>0.0780334948695479</v>
      </c>
      <c r="BO181" s="197" t="n">
        <f aca="false">Algae_yield_cost_factor/W181</f>
        <v>0.0754104152030939</v>
      </c>
      <c r="BP181" s="197" t="n">
        <f aca="false">Algae_yield_cost_factor/X181</f>
        <v>0.0737116604869821</v>
      </c>
      <c r="BQ181" s="197" t="n">
        <f aca="false">Algae_yield_cost_factor/Y181</f>
        <v>0.0726383119671318</v>
      </c>
      <c r="BR181" s="197" t="n">
        <f aca="false">Algae_yield_cost_factor/Z181</f>
        <v>0.0719706544975176</v>
      </c>
      <c r="BS181" s="197" t="n">
        <f aca="false">Algae_yield_cost_factor/AA181</f>
        <v>0.0715593853463377</v>
      </c>
      <c r="BT181" s="197" t="n">
        <f aca="false">Algae_yield_cost_factor/AB181</f>
        <v>0.0713075703739517</v>
      </c>
      <c r="BU181" s="197" t="n">
        <f aca="false">Algae_yield_cost_factor/AC181</f>
        <v>0.0711539556905941</v>
      </c>
    </row>
    <row r="182" customFormat="false" ht="15" hidden="false" customHeight="false" outlineLevel="0" collapsed="false">
      <c r="A182" s="18" t="s">
        <v>717</v>
      </c>
      <c r="B182" s="18" t="s">
        <v>22</v>
      </c>
      <c r="C182" s="18" t="s">
        <v>682</v>
      </c>
      <c r="D182" s="18" t="s">
        <v>682</v>
      </c>
      <c r="E182" s="28" t="n">
        <v>6.150761</v>
      </c>
      <c r="F182" s="185" t="n">
        <f aca="false">E182/$B$2*$F$3/1000</f>
        <v>0.01506936445</v>
      </c>
      <c r="G182" s="18" t="n">
        <f aca="false">LOOKUP(RIGHT(D182,5),Ref!$C$4:$C$21,Ref!$E$4:$E$21)*$G$3</f>
        <v>3</v>
      </c>
      <c r="H182" s="218" t="n">
        <f aca="false">$E182</f>
        <v>6.150761</v>
      </c>
      <c r="I182" s="177" t="n">
        <f aca="false">$E182</f>
        <v>6.150761</v>
      </c>
      <c r="J182" s="177" t="n">
        <f aca="false">$E182</f>
        <v>6.150761</v>
      </c>
      <c r="K182" s="177" t="n">
        <f aca="false">$E182</f>
        <v>6.150761</v>
      </c>
      <c r="L182" s="177" t="n">
        <f aca="false">$E182</f>
        <v>6.150761</v>
      </c>
      <c r="M182" s="177" t="n">
        <f aca="false">M$3*$E182</f>
        <v>6.44246621113152</v>
      </c>
      <c r="N182" s="177" t="n">
        <f aca="false">N$3*$E182</f>
        <v>6.61734653520564</v>
      </c>
      <c r="O182" s="177" t="n">
        <f aca="false">O$3*$E182</f>
        <v>6.88394968385968</v>
      </c>
      <c r="P182" s="177" t="n">
        <f aca="false">P$3*$E182</f>
        <v>7.27281679723271</v>
      </c>
      <c r="Q182" s="177" t="n">
        <f aca="false">Q$3*$E182</f>
        <v>7.80495540584713</v>
      </c>
      <c r="R182" s="177" t="n">
        <f aca="false">R$3*$E182</f>
        <v>8.47292342155755</v>
      </c>
      <c r="S182" s="177" t="n">
        <f aca="false">S$3*$E182</f>
        <v>9.2261415</v>
      </c>
      <c r="T182" s="177" t="n">
        <f aca="false">T$3*$E182</f>
        <v>9.97935957844245</v>
      </c>
      <c r="U182" s="177" t="n">
        <f aca="false">U$3*$E182</f>
        <v>10.6473275941529</v>
      </c>
      <c r="V182" s="177" t="n">
        <f aca="false">V$3*$E182</f>
        <v>11.1794662027673</v>
      </c>
      <c r="W182" s="177" t="n">
        <f aca="false">W$3*$E182</f>
        <v>11.5683333161403</v>
      </c>
      <c r="X182" s="177" t="n">
        <f aca="false">X$3*$E182</f>
        <v>11.8349364647944</v>
      </c>
      <c r="Y182" s="177" t="n">
        <f aca="false">Y$3*$E182</f>
        <v>12.0098167888685</v>
      </c>
      <c r="Z182" s="177" t="n">
        <f aca="false">Z$3*$E182</f>
        <v>12.1212294742716</v>
      </c>
      <c r="AA182" s="177" t="n">
        <f aca="false">AA$3*$E182</f>
        <v>12.1908931212274</v>
      </c>
      <c r="AB182" s="177" t="n">
        <f aca="false">AB$3*$E182</f>
        <v>12.2339439417585</v>
      </c>
      <c r="AC182" s="177" t="n">
        <f aca="false">AC$3*$E182</f>
        <v>12.2603558735561</v>
      </c>
      <c r="AD182" s="219" t="n">
        <f aca="false">Algae_electricity_factor/H182</f>
        <v>0.00223445474527937</v>
      </c>
      <c r="AE182" s="220" t="n">
        <f aca="false">Algae_electricity_factor/I182</f>
        <v>0.00223445474527937</v>
      </c>
      <c r="AF182" s="220" t="n">
        <f aca="false">Algae_electricity_factor/J182</f>
        <v>0.00223445474527937</v>
      </c>
      <c r="AG182" s="220" t="n">
        <f aca="false">Algae_electricity_factor/K182</f>
        <v>0.00223445474527937</v>
      </c>
      <c r="AH182" s="220" t="n">
        <f aca="false">Algae_electricity_factor/L182</f>
        <v>0.00223445474527937</v>
      </c>
      <c r="AI182" s="220" t="n">
        <f aca="false">Algae_electricity_factor/M182</f>
        <v>0.00213328198443363</v>
      </c>
      <c r="AJ182" s="220" t="n">
        <f aca="false">Algae_electricity_factor/N182</f>
        <v>0.00207690454631785</v>
      </c>
      <c r="AK182" s="220" t="n">
        <f aca="false">Algae_electricity_factor/O182</f>
        <v>0.00199646972082799</v>
      </c>
      <c r="AL182" s="220" t="n">
        <f aca="false">Algae_electricity_factor/P182</f>
        <v>0.00188972133998462</v>
      </c>
      <c r="AM182" s="220" t="n">
        <f aca="false">Algae_electricity_factor/Q182</f>
        <v>0.00176088092613997</v>
      </c>
      <c r="AN182" s="220" t="n">
        <f aca="false">Algae_electricity_factor/R182</f>
        <v>0.00162206081888591</v>
      </c>
      <c r="AO182" s="220" t="n">
        <f aca="false">Algae_electricity_factor/S182</f>
        <v>0.00148963649685291</v>
      </c>
      <c r="AP182" s="220" t="n">
        <f aca="false">Algae_electricity_factor/T182</f>
        <v>0.001377202313986</v>
      </c>
      <c r="AQ182" s="220" t="n">
        <f aca="false">Algae_electricity_factor/U182</f>
        <v>0.00129080250250558</v>
      </c>
      <c r="AR182" s="220" t="n">
        <f aca="false">Algae_electricity_factor/V182</f>
        <v>0.00122936076322922</v>
      </c>
      <c r="AS182" s="220" t="n">
        <f aca="false">Algae_electricity_factor/W182</f>
        <v>0.0011880360573942</v>
      </c>
      <c r="AT182" s="220" t="n">
        <f aca="false">Algae_electricity_factor/X182</f>
        <v>0.00116127341658425</v>
      </c>
      <c r="AU182" s="220" t="n">
        <f aca="false">Algae_electricity_factor/Y182</f>
        <v>0.0011443635939782</v>
      </c>
      <c r="AV182" s="220" t="n">
        <f aca="false">Algae_electricity_factor/Z182</f>
        <v>0.00113384513779739</v>
      </c>
      <c r="AW182" s="220" t="n">
        <f aca="false">Algae_electricity_factor/AA182</f>
        <v>0.00112736589246265</v>
      </c>
      <c r="AX182" s="220" t="n">
        <f aca="false">Algae_electricity_factor/AB182</f>
        <v>0.00112339873134597</v>
      </c>
      <c r="AY182" s="220" t="n">
        <f aca="false">Algae_electricity_factor/AC182</f>
        <v>0.00112097864411687</v>
      </c>
      <c r="AZ182" s="221" t="n">
        <f aca="false">Algae_yield_cost_factor/H182</f>
        <v>0.123698940551619</v>
      </c>
      <c r="BA182" s="197" t="n">
        <f aca="false">Algae_yield_cost_factor/I182</f>
        <v>0.123698940551619</v>
      </c>
      <c r="BB182" s="197" t="n">
        <f aca="false">Algae_yield_cost_factor/J182</f>
        <v>0.123698940551619</v>
      </c>
      <c r="BC182" s="197" t="n">
        <f aca="false">Algae_yield_cost_factor/K182</f>
        <v>0.123698940551619</v>
      </c>
      <c r="BD182" s="197" t="n">
        <f aca="false">Algae_yield_cost_factor/L182</f>
        <v>0.123698940551619</v>
      </c>
      <c r="BE182" s="197" t="n">
        <f aca="false">Algae_yield_cost_factor/M182</f>
        <v>0.118098037979867</v>
      </c>
      <c r="BF182" s="197" t="n">
        <f aca="false">Algae_yield_cost_factor/N182</f>
        <v>0.114976994968962</v>
      </c>
      <c r="BG182" s="197" t="n">
        <f aca="false">Algae_yield_cost_factor/O182</f>
        <v>0.11052414009796</v>
      </c>
      <c r="BH182" s="197" t="n">
        <f aca="false">Algae_yield_cost_factor/P182</f>
        <v>0.104614572386275</v>
      </c>
      <c r="BI182" s="197" t="n">
        <f aca="false">Algae_yield_cost_factor/Q182</f>
        <v>0.0974819944155258</v>
      </c>
      <c r="BJ182" s="197" t="n">
        <f aca="false">Algae_yield_cost_factor/R182</f>
        <v>0.0897969427353038</v>
      </c>
      <c r="BK182" s="197" t="n">
        <f aca="false">Algae_yield_cost_factor/S182</f>
        <v>0.0824659603677461</v>
      </c>
      <c r="BL182" s="197" t="n">
        <f aca="false">Algae_yield_cost_factor/T182</f>
        <v>0.0762416278625535</v>
      </c>
      <c r="BM182" s="197" t="n">
        <f aca="false">Algae_yield_cost_factor/U182</f>
        <v>0.0714585526328734</v>
      </c>
      <c r="BN182" s="197" t="n">
        <f aca="false">Algae_yield_cost_factor/V182</f>
        <v>0.0680571509843541</v>
      </c>
      <c r="BO182" s="197" t="n">
        <f aca="false">Algae_yield_cost_factor/W182</f>
        <v>0.0657694240383512</v>
      </c>
      <c r="BP182" s="197" t="n">
        <f aca="false">Algae_yield_cost_factor/X182</f>
        <v>0.064287849922094</v>
      </c>
      <c r="BQ182" s="197" t="n">
        <f aca="false">Algae_yield_cost_factor/Y182</f>
        <v>0.0633517257308554</v>
      </c>
      <c r="BR182" s="197" t="n">
        <f aca="false">Algae_yield_cost_factor/Z182</f>
        <v>0.0627694262286823</v>
      </c>
      <c r="BS182" s="197" t="n">
        <f aca="false">Algae_yield_cost_factor/AA182</f>
        <v>0.0624107365818344</v>
      </c>
      <c r="BT182" s="197" t="n">
        <f aca="false">Algae_yield_cost_factor/AB182</f>
        <v>0.0621911153842392</v>
      </c>
      <c r="BU182" s="197" t="n">
        <f aca="false">Algae_yield_cost_factor/AC182</f>
        <v>0.0620571398687742</v>
      </c>
    </row>
    <row r="183" customFormat="false" ht="15" hidden="false" customHeight="false" outlineLevel="0" collapsed="false">
      <c r="A183" s="18" t="s">
        <v>717</v>
      </c>
      <c r="B183" s="18" t="s">
        <v>22</v>
      </c>
      <c r="C183" s="18" t="s">
        <v>683</v>
      </c>
      <c r="D183" s="18" t="s">
        <v>683</v>
      </c>
      <c r="E183" s="28" t="n">
        <v>6.540435</v>
      </c>
      <c r="F183" s="185" t="n">
        <f aca="false">E183/$B$2*$F$3/1000</f>
        <v>0.01602406575</v>
      </c>
      <c r="G183" s="18" t="n">
        <f aca="false">LOOKUP(RIGHT(D183,5),Ref!$C$4:$C$21,Ref!$E$4:$E$21)*$G$3</f>
        <v>3</v>
      </c>
      <c r="H183" s="218" t="n">
        <f aca="false">$E183</f>
        <v>6.540435</v>
      </c>
      <c r="I183" s="177" t="n">
        <f aca="false">$E183</f>
        <v>6.540435</v>
      </c>
      <c r="J183" s="177" t="n">
        <f aca="false">$E183</f>
        <v>6.540435</v>
      </c>
      <c r="K183" s="177" t="n">
        <f aca="false">$E183</f>
        <v>6.540435</v>
      </c>
      <c r="L183" s="177" t="n">
        <f aca="false">$E183</f>
        <v>6.540435</v>
      </c>
      <c r="M183" s="177" t="n">
        <f aca="false">M$3*$E183</f>
        <v>6.85062084083612</v>
      </c>
      <c r="N183" s="177" t="n">
        <f aca="false">N$3*$E183</f>
        <v>7.03658049564724</v>
      </c>
      <c r="O183" s="177" t="n">
        <f aca="false">O$3*$E183</f>
        <v>7.32007396329573</v>
      </c>
      <c r="P183" s="177" t="n">
        <f aca="false">P$3*$E183</f>
        <v>7.73357728079643</v>
      </c>
      <c r="Q183" s="177" t="n">
        <f aca="false">Q$3*$E183</f>
        <v>8.29942888527807</v>
      </c>
      <c r="R183" s="177" t="n">
        <f aca="false">R$3*$E183</f>
        <v>9.0097152041308</v>
      </c>
      <c r="S183" s="177" t="n">
        <f aca="false">S$3*$E183</f>
        <v>9.8106525</v>
      </c>
      <c r="T183" s="177" t="n">
        <f aca="false">T$3*$E183</f>
        <v>10.6115897958692</v>
      </c>
      <c r="U183" s="177" t="n">
        <f aca="false">U$3*$E183</f>
        <v>11.3218761147219</v>
      </c>
      <c r="V183" s="177" t="n">
        <f aca="false">V$3*$E183</f>
        <v>11.8877277192036</v>
      </c>
      <c r="W183" s="177" t="n">
        <f aca="false">W$3*$E183</f>
        <v>12.3012310367043</v>
      </c>
      <c r="X183" s="177" t="n">
        <f aca="false">X$3*$E183</f>
        <v>12.5847245043528</v>
      </c>
      <c r="Y183" s="177" t="n">
        <f aca="false">Y$3*$E183</f>
        <v>12.7706841591639</v>
      </c>
      <c r="Z183" s="177" t="n">
        <f aca="false">Z$3*$E183</f>
        <v>12.8891552600658</v>
      </c>
      <c r="AA183" s="177" t="n">
        <f aca="false">AA$3*$E183</f>
        <v>12.9632323628466</v>
      </c>
      <c r="AB183" s="177" t="n">
        <f aca="false">AB$3*$E183</f>
        <v>13.0090106158759</v>
      </c>
      <c r="AC183" s="177" t="n">
        <f aca="false">AC$3*$E183</f>
        <v>13.037095843565</v>
      </c>
      <c r="AD183" s="219" t="n">
        <f aca="false">Algae_electricity_factor/H183</f>
        <v>0.00210132767981476</v>
      </c>
      <c r="AE183" s="220" t="n">
        <f aca="false">Algae_electricity_factor/I183</f>
        <v>0.00210132767981476</v>
      </c>
      <c r="AF183" s="220" t="n">
        <f aca="false">Algae_electricity_factor/J183</f>
        <v>0.00210132767981476</v>
      </c>
      <c r="AG183" s="220" t="n">
        <f aca="false">Algae_electricity_factor/K183</f>
        <v>0.00210132767981476</v>
      </c>
      <c r="AH183" s="220" t="n">
        <f aca="false">Algae_electricity_factor/L183</f>
        <v>0.00210132767981476</v>
      </c>
      <c r="AI183" s="220" t="n">
        <f aca="false">Algae_electricity_factor/M183</f>
        <v>0.00200618271290166</v>
      </c>
      <c r="AJ183" s="220" t="n">
        <f aca="false">Algae_electricity_factor/N183</f>
        <v>0.00195316419843856</v>
      </c>
      <c r="AK183" s="220" t="n">
        <f aca="false">Algae_electricity_factor/O183</f>
        <v>0.0018775216169184</v>
      </c>
      <c r="AL183" s="220" t="n">
        <f aca="false">Algae_electricity_factor/P183</f>
        <v>0.00177713322108471</v>
      </c>
      <c r="AM183" s="220" t="n">
        <f aca="false">Algae_electricity_factor/Q183</f>
        <v>0.00165596901829092</v>
      </c>
      <c r="AN183" s="220" t="n">
        <f aca="false">Algae_electricity_factor/R183</f>
        <v>0.00152541970441286</v>
      </c>
      <c r="AO183" s="220" t="n">
        <f aca="false">Algae_electricity_factor/S183</f>
        <v>0.00140088511987651</v>
      </c>
      <c r="AP183" s="220" t="n">
        <f aca="false">Algae_electricity_factor/T183</f>
        <v>0.00129514967765521</v>
      </c>
      <c r="AQ183" s="220" t="n">
        <f aca="false">Algae_electricity_factor/U183</f>
        <v>0.00121389749934274</v>
      </c>
      <c r="AR183" s="220" t="n">
        <f aca="false">Algae_electricity_factor/V183</f>
        <v>0.00115611641081985</v>
      </c>
      <c r="AS183" s="220" t="n">
        <f aca="false">Algae_electricity_factor/W183</f>
        <v>0.00111725379862562</v>
      </c>
      <c r="AT183" s="220" t="n">
        <f aca="false">Algae_electricity_factor/X183</f>
        <v>0.00109208565501578</v>
      </c>
      <c r="AU183" s="220" t="n">
        <f aca="false">Algae_electricity_factor/Y183</f>
        <v>0.00107618330641019</v>
      </c>
      <c r="AV183" s="220" t="n">
        <f aca="false">Algae_electricity_factor/Z183</f>
        <v>0.0010662915316189</v>
      </c>
      <c r="AW183" s="220" t="n">
        <f aca="false">Algae_electricity_factor/AA183</f>
        <v>0.00106019831465177</v>
      </c>
      <c r="AX183" s="220" t="n">
        <f aca="false">Algae_electricity_factor/AB183</f>
        <v>0.00105646751389048</v>
      </c>
      <c r="AY183" s="220" t="n">
        <f aca="false">Algae_electricity_factor/AC183</f>
        <v>0.00105419161356499</v>
      </c>
      <c r="AZ183" s="221" t="n">
        <f aca="false">Algae_yield_cost_factor/H183</f>
        <v>0.116329054456809</v>
      </c>
      <c r="BA183" s="197" t="n">
        <f aca="false">Algae_yield_cost_factor/I183</f>
        <v>0.116329054456809</v>
      </c>
      <c r="BB183" s="197" t="n">
        <f aca="false">Algae_yield_cost_factor/J183</f>
        <v>0.116329054456809</v>
      </c>
      <c r="BC183" s="197" t="n">
        <f aca="false">Algae_yield_cost_factor/K183</f>
        <v>0.116329054456809</v>
      </c>
      <c r="BD183" s="197" t="n">
        <f aca="false">Algae_yield_cost_factor/L183</f>
        <v>0.116329054456809</v>
      </c>
      <c r="BE183" s="197" t="n">
        <f aca="false">Algae_yield_cost_factor/M183</f>
        <v>0.11106184927808</v>
      </c>
      <c r="BF183" s="197" t="n">
        <f aca="false">Algae_yield_cost_factor/N183</f>
        <v>0.108126755567831</v>
      </c>
      <c r="BG183" s="197" t="n">
        <f aca="false">Algae_yield_cost_factor/O183</f>
        <v>0.103939198306087</v>
      </c>
      <c r="BH183" s="197" t="n">
        <f aca="false">Algae_yield_cost_factor/P183</f>
        <v>0.0983817180149603</v>
      </c>
      <c r="BI183" s="197" t="n">
        <f aca="false">Algae_yield_cost_factor/Q183</f>
        <v>0.0916740934591099</v>
      </c>
      <c r="BJ183" s="197" t="n">
        <f aca="false">Algae_yield_cost_factor/R183</f>
        <v>0.0844469111451364</v>
      </c>
      <c r="BK183" s="197" t="n">
        <f aca="false">Algae_yield_cost_factor/S183</f>
        <v>0.0775527029712058</v>
      </c>
      <c r="BL183" s="197" t="n">
        <f aca="false">Algae_yield_cost_factor/T183</f>
        <v>0.0716992113266942</v>
      </c>
      <c r="BM183" s="197" t="n">
        <f aca="false">Algae_yield_cost_factor/U183</f>
        <v>0.0672011079768738</v>
      </c>
      <c r="BN183" s="197" t="n">
        <f aca="false">Algae_yield_cost_factor/V183</f>
        <v>0.0640023591772836</v>
      </c>
      <c r="BO183" s="197" t="n">
        <f aca="false">Algae_yield_cost_factor/W183</f>
        <v>0.0618509332127837</v>
      </c>
      <c r="BP183" s="197" t="n">
        <f aca="false">Algae_yield_cost_factor/X183</f>
        <v>0.0604576301231751</v>
      </c>
      <c r="BQ183" s="197" t="n">
        <f aca="false">Algae_yield_cost_factor/Y183</f>
        <v>0.0595772794788178</v>
      </c>
      <c r="BR183" s="197" t="n">
        <f aca="false">Algae_yield_cost_factor/Z183</f>
        <v>0.0590296729253874</v>
      </c>
      <c r="BS183" s="197" t="n">
        <f aca="false">Algae_yield_cost_factor/AA183</f>
        <v>0.0586923537270565</v>
      </c>
      <c r="BT183" s="197" t="n">
        <f aca="false">Algae_yield_cost_factor/AB183</f>
        <v>0.0584858173885802</v>
      </c>
      <c r="BU183" s="197" t="n">
        <f aca="false">Algae_yield_cost_factor/AC183</f>
        <v>0.0583598240295028</v>
      </c>
    </row>
    <row r="184" customFormat="false" ht="15" hidden="false" customHeight="false" outlineLevel="0" collapsed="false">
      <c r="A184" s="18" t="s">
        <v>717</v>
      </c>
      <c r="B184" s="18" t="s">
        <v>22</v>
      </c>
      <c r="C184" s="18" t="s">
        <v>684</v>
      </c>
      <c r="D184" s="18" t="s">
        <v>684</v>
      </c>
      <c r="E184" s="28" t="n">
        <v>5.4186075</v>
      </c>
      <c r="F184" s="185" t="n">
        <f aca="false">E184/$B$2*$F$3/1000</f>
        <v>0.013275588375</v>
      </c>
      <c r="G184" s="18" t="n">
        <f aca="false">LOOKUP(RIGHT(D184,5),Ref!$C$4:$C$21,Ref!$E$4:$E$21)*$G$3</f>
        <v>3.5</v>
      </c>
      <c r="H184" s="218" t="n">
        <f aca="false">$E184</f>
        <v>5.4186075</v>
      </c>
      <c r="I184" s="177" t="n">
        <f aca="false">$E184</f>
        <v>5.4186075</v>
      </c>
      <c r="J184" s="177" t="n">
        <f aca="false">$E184</f>
        <v>5.4186075</v>
      </c>
      <c r="K184" s="177" t="n">
        <f aca="false">$E184</f>
        <v>5.4186075</v>
      </c>
      <c r="L184" s="177" t="n">
        <f aca="false">$E184</f>
        <v>5.4186075</v>
      </c>
      <c r="M184" s="177" t="n">
        <f aca="false">M$3*$E184</f>
        <v>5.67558969209401</v>
      </c>
      <c r="N184" s="177" t="n">
        <f aca="false">N$3*$E184</f>
        <v>5.82965320319946</v>
      </c>
      <c r="O184" s="177" t="n">
        <f aca="false">O$3*$E184</f>
        <v>6.06452134729096</v>
      </c>
      <c r="P184" s="177" t="n">
        <f aca="false">P$3*$E184</f>
        <v>6.40709981148855</v>
      </c>
      <c r="Q184" s="177" t="n">
        <f aca="false">Q$3*$E184</f>
        <v>6.87589550289612</v>
      </c>
      <c r="R184" s="177" t="n">
        <f aca="false">R$3*$E184</f>
        <v>7.46435219950465</v>
      </c>
      <c r="S184" s="177" t="n">
        <f aca="false">S$3*$E184</f>
        <v>8.12791125</v>
      </c>
      <c r="T184" s="177" t="n">
        <f aca="false">T$3*$E184</f>
        <v>8.79147030049535</v>
      </c>
      <c r="U184" s="177" t="n">
        <f aca="false">U$3*$E184</f>
        <v>9.37992699710388</v>
      </c>
      <c r="V184" s="177" t="n">
        <f aca="false">V$3*$E184</f>
        <v>9.84872268851145</v>
      </c>
      <c r="W184" s="177" t="n">
        <f aca="false">W$3*$E184</f>
        <v>10.191301152709</v>
      </c>
      <c r="X184" s="177" t="n">
        <f aca="false">X$3*$E184</f>
        <v>10.4261692968005</v>
      </c>
      <c r="Y184" s="177" t="n">
        <f aca="false">Y$3*$E184</f>
        <v>10.580232807906</v>
      </c>
      <c r="Z184" s="177" t="n">
        <f aca="false">Z$3*$E184</f>
        <v>10.678383526609</v>
      </c>
      <c r="AA184" s="177" t="n">
        <f aca="false">AA$3*$E184</f>
        <v>10.7397547878028</v>
      </c>
      <c r="AB184" s="177" t="n">
        <f aca="false">AB$3*$E184</f>
        <v>10.7776810702598</v>
      </c>
      <c r="AC184" s="177" t="n">
        <f aca="false">AC$3*$E184</f>
        <v>10.8009490677853</v>
      </c>
      <c r="AD184" s="219" t="n">
        <f aca="false">Algae_electricity_factor/H184</f>
        <v>0.00253637066414743</v>
      </c>
      <c r="AE184" s="220" t="n">
        <f aca="false">Algae_electricity_factor/I184</f>
        <v>0.00253637066414743</v>
      </c>
      <c r="AF184" s="220" t="n">
        <f aca="false">Algae_electricity_factor/J184</f>
        <v>0.00253637066414743</v>
      </c>
      <c r="AG184" s="220" t="n">
        <f aca="false">Algae_electricity_factor/K184</f>
        <v>0.00253637066414743</v>
      </c>
      <c r="AH184" s="220" t="n">
        <f aca="false">Algae_electricity_factor/L184</f>
        <v>0.00253637066414743</v>
      </c>
      <c r="AI184" s="220" t="n">
        <f aca="false">Algae_electricity_factor/M184</f>
        <v>0.00242152760314471</v>
      </c>
      <c r="AJ184" s="220" t="n">
        <f aca="false">Algae_electricity_factor/N184</f>
        <v>0.00235753253658149</v>
      </c>
      <c r="AK184" s="220" t="n">
        <f aca="false">Algae_electricity_factor/O184</f>
        <v>0.0022662294872898</v>
      </c>
      <c r="AL184" s="220" t="n">
        <f aca="false">Algae_electricity_factor/P184</f>
        <v>0.00214505743751419</v>
      </c>
      <c r="AM184" s="220" t="n">
        <f aca="false">Algae_electricity_factor/Q184</f>
        <v>0.00199880831489374</v>
      </c>
      <c r="AN184" s="220" t="n">
        <f aca="false">Algae_electricity_factor/R184</f>
        <v>0.00184123105879721</v>
      </c>
      <c r="AO184" s="220" t="n">
        <f aca="false">Algae_electricity_factor/S184</f>
        <v>0.00169091377609829</v>
      </c>
      <c r="AP184" s="220" t="n">
        <f aca="false">Algae_electricity_factor/T184</f>
        <v>0.00156328766790634</v>
      </c>
      <c r="AQ184" s="220" t="n">
        <f aca="false">Algae_electricity_factor/U184</f>
        <v>0.00146521365334428</v>
      </c>
      <c r="AR184" s="220" t="n">
        <f aca="false">Algae_electricity_factor/V184</f>
        <v>0.00139547000542123</v>
      </c>
      <c r="AS184" s="220" t="n">
        <f aca="false">Algae_electricity_factor/W184</f>
        <v>0.00134856157203008</v>
      </c>
      <c r="AT184" s="220" t="n">
        <f aca="false">Algae_electricity_factor/X184</f>
        <v>0.00131818280638765</v>
      </c>
      <c r="AU184" s="220" t="n">
        <f aca="false">Algae_electricity_factor/Y184</f>
        <v>0.0012989881558428</v>
      </c>
      <c r="AV184" s="220" t="n">
        <f aca="false">Algae_electricity_factor/Z184</f>
        <v>0.00128704846283918</v>
      </c>
      <c r="AW184" s="220" t="n">
        <f aca="false">Algae_electricity_factor/AA184</f>
        <v>0.00127969375233203</v>
      </c>
      <c r="AX184" s="220" t="n">
        <f aca="false">Algae_electricity_factor/AB184</f>
        <v>0.00127519055480809</v>
      </c>
      <c r="AY184" s="220" t="n">
        <f aca="false">Algae_electricity_factor/AC184</f>
        <v>0.00127244346929851</v>
      </c>
      <c r="AZ184" s="221" t="n">
        <f aca="false">Algae_yield_cost_factor/H184</f>
        <v>0.140412941754172</v>
      </c>
      <c r="BA184" s="197" t="n">
        <f aca="false">Algae_yield_cost_factor/I184</f>
        <v>0.140412941754172</v>
      </c>
      <c r="BB184" s="197" t="n">
        <f aca="false">Algae_yield_cost_factor/J184</f>
        <v>0.140412941754172</v>
      </c>
      <c r="BC184" s="197" t="n">
        <f aca="false">Algae_yield_cost_factor/K184</f>
        <v>0.140412941754172</v>
      </c>
      <c r="BD184" s="197" t="n">
        <f aca="false">Algae_yield_cost_factor/L184</f>
        <v>0.140412941754172</v>
      </c>
      <c r="BE184" s="197" t="n">
        <f aca="false">Algae_yield_cost_factor/M184</f>
        <v>0.13405525426654</v>
      </c>
      <c r="BF184" s="197" t="n">
        <f aca="false">Algae_yield_cost_factor/N184</f>
        <v>0.130512500961232</v>
      </c>
      <c r="BG184" s="197" t="n">
        <f aca="false">Algae_yield_cost_factor/O184</f>
        <v>0.125457983526777</v>
      </c>
      <c r="BH184" s="197" t="n">
        <f aca="false">Algae_yield_cost_factor/P184</f>
        <v>0.118749924563677</v>
      </c>
      <c r="BI184" s="197" t="n">
        <f aca="false">Algae_yield_cost_factor/Q184</f>
        <v>0.110653604169195</v>
      </c>
      <c r="BJ184" s="197" t="n">
        <f aca="false">Algae_yield_cost_factor/R184</f>
        <v>0.101930160709286</v>
      </c>
      <c r="BK184" s="197" t="n">
        <f aca="false">Algae_yield_cost_factor/S184</f>
        <v>0.0936086278361144</v>
      </c>
      <c r="BL184" s="197" t="n">
        <f aca="false">Algae_yield_cost_factor/T184</f>
        <v>0.0865432735686258</v>
      </c>
      <c r="BM184" s="197" t="n">
        <f aca="false">Algae_yield_cost_factor/U184</f>
        <v>0.0811139169335895</v>
      </c>
      <c r="BN184" s="197" t="n">
        <f aca="false">Algae_yield_cost_factor/V184</f>
        <v>0.0772529233840386</v>
      </c>
      <c r="BO184" s="197" t="n">
        <f aca="false">Algae_yield_cost_factor/W184</f>
        <v>0.0746560824653849</v>
      </c>
      <c r="BP184" s="197" t="n">
        <f aca="false">Algae_yield_cost_factor/X184</f>
        <v>0.0729743204457361</v>
      </c>
      <c r="BQ184" s="197" t="n">
        <f aca="false">Algae_yield_cost_factor/Y184</f>
        <v>0.0719117086646415</v>
      </c>
      <c r="BR184" s="197" t="n">
        <f aca="false">Algae_yield_cost_factor/Z184</f>
        <v>0.0712507297935412</v>
      </c>
      <c r="BS184" s="197" t="n">
        <f aca="false">Algae_yield_cost_factor/AA184</f>
        <v>0.070843574580521</v>
      </c>
      <c r="BT184" s="197" t="n">
        <f aca="false">Algae_yield_cost_factor/AB184</f>
        <v>0.0705942785211659</v>
      </c>
      <c r="BU184" s="197" t="n">
        <f aca="false">Algae_yield_cost_factor/AC184</f>
        <v>0.070442200450282</v>
      </c>
    </row>
    <row r="185" customFormat="false" ht="15" hidden="false" customHeight="false" outlineLevel="0" collapsed="false">
      <c r="A185" s="18" t="s">
        <v>717</v>
      </c>
      <c r="B185" s="18" t="s">
        <v>22</v>
      </c>
      <c r="C185" s="18" t="s">
        <v>686</v>
      </c>
      <c r="D185" s="18" t="s">
        <v>686</v>
      </c>
      <c r="E185" s="28" t="n">
        <v>5.7086</v>
      </c>
      <c r="F185" s="185" t="n">
        <f aca="false">E185/$B$2*$F$3/1000</f>
        <v>0.01398607</v>
      </c>
      <c r="G185" s="18" t="n">
        <f aca="false">LOOKUP(RIGHT(D185,5),Ref!$C$4:$C$21,Ref!$E$4:$E$21)*$G$3</f>
        <v>4.5</v>
      </c>
      <c r="H185" s="218" t="n">
        <f aca="false">$E185</f>
        <v>5.7086</v>
      </c>
      <c r="I185" s="177" t="n">
        <f aca="false">$E185</f>
        <v>5.7086</v>
      </c>
      <c r="J185" s="177" t="n">
        <f aca="false">$E185</f>
        <v>5.7086</v>
      </c>
      <c r="K185" s="177" t="n">
        <f aca="false">$E185</f>
        <v>5.7086</v>
      </c>
      <c r="L185" s="177" t="n">
        <f aca="false">$E185</f>
        <v>5.7086</v>
      </c>
      <c r="M185" s="177" t="n">
        <f aca="false">M$3*$E185</f>
        <v>5.97933533962146</v>
      </c>
      <c r="N185" s="177" t="n">
        <f aca="false">N$3*$E185</f>
        <v>6.14164400646927</v>
      </c>
      <c r="O185" s="177" t="n">
        <f aca="false">O$3*$E185</f>
        <v>6.38908180065546</v>
      </c>
      <c r="P185" s="177" t="n">
        <f aca="false">P$3*$E185</f>
        <v>6.74999434520097</v>
      </c>
      <c r="Q185" s="177" t="n">
        <f aca="false">Q$3*$E185</f>
        <v>7.24387899803276</v>
      </c>
      <c r="R185" s="177" t="n">
        <f aca="false">R$3*$E185</f>
        <v>7.86382866190109</v>
      </c>
      <c r="S185" s="177" t="n">
        <f aca="false">S$3*$E185</f>
        <v>8.5629</v>
      </c>
      <c r="T185" s="177" t="n">
        <f aca="false">T$3*$E185</f>
        <v>9.26197133809891</v>
      </c>
      <c r="U185" s="177" t="n">
        <f aca="false">U$3*$E185</f>
        <v>9.88192100196724</v>
      </c>
      <c r="V185" s="177" t="n">
        <f aca="false">V$3*$E185</f>
        <v>10.375805654799</v>
      </c>
      <c r="W185" s="177" t="n">
        <f aca="false">W$3*$E185</f>
        <v>10.7367181993445</v>
      </c>
      <c r="X185" s="177" t="n">
        <f aca="false">X$3*$E185</f>
        <v>10.9841559935307</v>
      </c>
      <c r="Y185" s="177" t="n">
        <f aca="false">Y$3*$E185</f>
        <v>11.1464646603785</v>
      </c>
      <c r="Z185" s="177" t="n">
        <f aca="false">Z$3*$E185</f>
        <v>11.2498681995328</v>
      </c>
      <c r="AA185" s="177" t="n">
        <f aca="false">AA$3*$E185</f>
        <v>11.3145239218104</v>
      </c>
      <c r="AB185" s="177" t="n">
        <f aca="false">AB$3*$E185</f>
        <v>11.354479939299</v>
      </c>
      <c r="AC185" s="177" t="n">
        <f aca="false">AC$3*$E185</f>
        <v>11.3789931912136</v>
      </c>
      <c r="AD185" s="219" t="n">
        <f aca="false">Algae_electricity_factor/H185</f>
        <v>0.00240752498047319</v>
      </c>
      <c r="AE185" s="220" t="n">
        <f aca="false">Algae_electricity_factor/I185</f>
        <v>0.00240752498047319</v>
      </c>
      <c r="AF185" s="220" t="n">
        <f aca="false">Algae_electricity_factor/J185</f>
        <v>0.00240752498047319</v>
      </c>
      <c r="AG185" s="220" t="n">
        <f aca="false">Algae_electricity_factor/K185</f>
        <v>0.00240752498047319</v>
      </c>
      <c r="AH185" s="220" t="n">
        <f aca="false">Algae_electricity_factor/L185</f>
        <v>0.00240752498047319</v>
      </c>
      <c r="AI185" s="220" t="n">
        <f aca="false">Algae_electricity_factor/M185</f>
        <v>0.00229851585885453</v>
      </c>
      <c r="AJ185" s="220" t="n">
        <f aca="false">Algae_electricity_factor/N185</f>
        <v>0.00223777169257165</v>
      </c>
      <c r="AK185" s="220" t="n">
        <f aca="false">Algae_electricity_factor/O185</f>
        <v>0.00215110676813048</v>
      </c>
      <c r="AL185" s="220" t="n">
        <f aca="false">Algae_electricity_factor/P185</f>
        <v>0.00203609016551259</v>
      </c>
      <c r="AM185" s="220" t="n">
        <f aca="false">Algae_electricity_factor/Q185</f>
        <v>0.00189727038610966</v>
      </c>
      <c r="AN185" s="220" t="n">
        <f aca="false">Algae_electricity_factor/R185</f>
        <v>0.00174769793371957</v>
      </c>
      <c r="AO185" s="220" t="n">
        <f aca="false">Algae_electricity_factor/S185</f>
        <v>0.00160501665364879</v>
      </c>
      <c r="AP185" s="220" t="n">
        <f aca="false">Algae_electricity_factor/T185</f>
        <v>0.00148387385383015</v>
      </c>
      <c r="AQ185" s="220" t="n">
        <f aca="false">Algae_electricity_factor/U185</f>
        <v>0.00139078192395924</v>
      </c>
      <c r="AR185" s="220" t="n">
        <f aca="false">Algae_electricity_factor/V185</f>
        <v>0.00132458119983893</v>
      </c>
      <c r="AS185" s="220" t="n">
        <f aca="false">Algae_electricity_factor/W185</f>
        <v>0.00128005567887293</v>
      </c>
      <c r="AT185" s="220" t="n">
        <f aca="false">Algae_electricity_factor/X185</f>
        <v>0.00125122013121661</v>
      </c>
      <c r="AU185" s="220" t="n">
        <f aca="false">Algae_electricity_factor/Y185</f>
        <v>0.00123300055419209</v>
      </c>
      <c r="AV185" s="220" t="n">
        <f aca="false">Algae_electricity_factor/Z185</f>
        <v>0.00122166738843216</v>
      </c>
      <c r="AW185" s="220" t="n">
        <f aca="false">Algae_electricity_factor/AA185</f>
        <v>0.00121468629157577</v>
      </c>
      <c r="AX185" s="220" t="n">
        <f aca="false">Algae_electricity_factor/AB185</f>
        <v>0.00121041185303092</v>
      </c>
      <c r="AY185" s="220" t="n">
        <f aca="false">Algae_electricity_factor/AC185</f>
        <v>0.00120780431735749</v>
      </c>
      <c r="AZ185" s="221" t="n">
        <f aca="false">Algae_yield_cost_factor/H185</f>
        <v>0.133280072046775</v>
      </c>
      <c r="BA185" s="197" t="n">
        <f aca="false">Algae_yield_cost_factor/I185</f>
        <v>0.133280072046775</v>
      </c>
      <c r="BB185" s="197" t="n">
        <f aca="false">Algae_yield_cost_factor/J185</f>
        <v>0.133280072046775</v>
      </c>
      <c r="BC185" s="197" t="n">
        <f aca="false">Algae_yield_cost_factor/K185</f>
        <v>0.133280072046775</v>
      </c>
      <c r="BD185" s="197" t="n">
        <f aca="false">Algae_yield_cost_factor/L185</f>
        <v>0.133280072046775</v>
      </c>
      <c r="BE185" s="197" t="n">
        <f aca="false">Algae_yield_cost_factor/M185</f>
        <v>0.127245350205494</v>
      </c>
      <c r="BF185" s="197" t="n">
        <f aca="false">Algae_yield_cost_factor/N185</f>
        <v>0.12388256604987</v>
      </c>
      <c r="BG185" s="197" t="n">
        <f aca="false">Algae_yield_cost_factor/O185</f>
        <v>0.119084814222939</v>
      </c>
      <c r="BH185" s="197" t="n">
        <f aca="false">Algae_yield_cost_factor/P185</f>
        <v>0.112717519508317</v>
      </c>
      <c r="BI185" s="197" t="n">
        <f aca="false">Algae_yield_cost_factor/Q185</f>
        <v>0.105032485977864</v>
      </c>
      <c r="BJ185" s="197" t="n">
        <f aca="false">Algae_yield_cost_factor/R185</f>
        <v>0.0967521867525383</v>
      </c>
      <c r="BK185" s="197" t="n">
        <f aca="false">Algae_yield_cost_factor/S185</f>
        <v>0.0888533813645164</v>
      </c>
      <c r="BL185" s="197" t="n">
        <f aca="false">Algae_yield_cost_factor/T185</f>
        <v>0.0821469416728282</v>
      </c>
      <c r="BM185" s="197" t="n">
        <f aca="false">Algae_yield_cost_factor/U185</f>
        <v>0.076993392189105</v>
      </c>
      <c r="BN185" s="197" t="n">
        <f aca="false">Algae_yield_cost_factor/V185</f>
        <v>0.0733285341494722</v>
      </c>
      <c r="BO185" s="197" t="n">
        <f aca="false">Algae_yield_cost_factor/W185</f>
        <v>0.070863610757025</v>
      </c>
      <c r="BP185" s="197" t="n">
        <f aca="false">Algae_yield_cost_factor/X185</f>
        <v>0.0692672809576199</v>
      </c>
      <c r="BQ185" s="197" t="n">
        <f aca="false">Algae_yield_cost_factor/Y185</f>
        <v>0.0682586490397018</v>
      </c>
      <c r="BR185" s="197" t="n">
        <f aca="false">Algae_yield_cost_factor/Z185</f>
        <v>0.0676312473881085</v>
      </c>
      <c r="BS185" s="197" t="n">
        <f aca="false">Algae_yield_cost_factor/AA185</f>
        <v>0.0672447753475144</v>
      </c>
      <c r="BT185" s="197" t="n">
        <f aca="false">Algae_yield_cost_factor/AB185</f>
        <v>0.0670081433366988</v>
      </c>
      <c r="BU185" s="197" t="n">
        <f aca="false">Algae_yield_cost_factor/AC185</f>
        <v>0.0668637907151318</v>
      </c>
    </row>
    <row r="186" customFormat="false" ht="15" hidden="false" customHeight="false" outlineLevel="0" collapsed="false">
      <c r="A186" s="18" t="s">
        <v>717</v>
      </c>
      <c r="B186" s="18" t="s">
        <v>22</v>
      </c>
      <c r="C186" s="18" t="s">
        <v>687</v>
      </c>
      <c r="D186" s="18" t="s">
        <v>687</v>
      </c>
      <c r="E186" s="28" t="n">
        <v>6.46488</v>
      </c>
      <c r="F186" s="185" t="n">
        <f aca="false">E186/$B$2*$F$3/1000</f>
        <v>0.015838956</v>
      </c>
      <c r="G186" s="18" t="n">
        <f aca="false">LOOKUP(RIGHT(D186,5),Ref!$C$4:$C$21,Ref!$E$4:$E$21)*$G$3</f>
        <v>4.5</v>
      </c>
      <c r="H186" s="218" t="n">
        <f aca="false">$E186</f>
        <v>6.46488</v>
      </c>
      <c r="I186" s="177" t="n">
        <f aca="false">$E186</f>
        <v>6.46488</v>
      </c>
      <c r="J186" s="177" t="n">
        <f aca="false">$E186</f>
        <v>6.46488</v>
      </c>
      <c r="K186" s="177" t="n">
        <f aca="false">$E186</f>
        <v>6.46488</v>
      </c>
      <c r="L186" s="177" t="n">
        <f aca="false">$E186</f>
        <v>6.46488</v>
      </c>
      <c r="M186" s="177" t="n">
        <f aca="false">M$3*$E186</f>
        <v>6.77148257898819</v>
      </c>
      <c r="N186" s="177" t="n">
        <f aca="false">N$3*$E186</f>
        <v>6.95529403085574</v>
      </c>
      <c r="O186" s="177" t="n">
        <f aca="false">O$3*$E186</f>
        <v>7.23551258652235</v>
      </c>
      <c r="P186" s="177" t="n">
        <f aca="false">P$3*$E186</f>
        <v>7.64423912034524</v>
      </c>
      <c r="Q186" s="177" t="n">
        <f aca="false">Q$3*$E186</f>
        <v>8.20355401618646</v>
      </c>
      <c r="R186" s="177" t="n">
        <f aca="false">R$3*$E186</f>
        <v>8.90563511889975</v>
      </c>
      <c r="S186" s="177" t="n">
        <f aca="false">S$3*$E186</f>
        <v>9.69732</v>
      </c>
      <c r="T186" s="177" t="n">
        <f aca="false">T$3*$E186</f>
        <v>10.4890048811002</v>
      </c>
      <c r="U186" s="177" t="n">
        <f aca="false">U$3*$E186</f>
        <v>11.1910859838135</v>
      </c>
      <c r="V186" s="177" t="n">
        <f aca="false">V$3*$E186</f>
        <v>11.7504008796548</v>
      </c>
      <c r="W186" s="177" t="n">
        <f aca="false">W$3*$E186</f>
        <v>12.1591274134777</v>
      </c>
      <c r="X186" s="177" t="n">
        <f aca="false">X$3*$E186</f>
        <v>12.4393459691443</v>
      </c>
      <c r="Y186" s="177" t="n">
        <f aca="false">Y$3*$E186</f>
        <v>12.6231574210118</v>
      </c>
      <c r="Z186" s="177" t="n">
        <f aca="false">Z$3*$E186</f>
        <v>12.7402599456602</v>
      </c>
      <c r="AA186" s="177" t="n">
        <f aca="false">AA$3*$E186</f>
        <v>12.8134813109403</v>
      </c>
      <c r="AB186" s="177" t="n">
        <f aca="false">AB$3*$E186</f>
        <v>12.8587307343263</v>
      </c>
      <c r="AC186" s="177" t="n">
        <f aca="false">AC$3*$E186</f>
        <v>12.8864915219166</v>
      </c>
      <c r="AD186" s="219" t="n">
        <f aca="false">Algae_electricity_factor/H186</f>
        <v>0.00212588587932479</v>
      </c>
      <c r="AE186" s="220" t="n">
        <f aca="false">Algae_electricity_factor/I186</f>
        <v>0.00212588587932479</v>
      </c>
      <c r="AF186" s="220" t="n">
        <f aca="false">Algae_electricity_factor/J186</f>
        <v>0.00212588587932479</v>
      </c>
      <c r="AG186" s="220" t="n">
        <f aca="false">Algae_electricity_factor/K186</f>
        <v>0.00212588587932479</v>
      </c>
      <c r="AH186" s="220" t="n">
        <f aca="false">Algae_electricity_factor/L186</f>
        <v>0.00212588587932479</v>
      </c>
      <c r="AI186" s="220" t="n">
        <f aca="false">Algae_electricity_factor/M186</f>
        <v>0.00202962895395691</v>
      </c>
      <c r="AJ186" s="220" t="n">
        <f aca="false">Algae_electricity_factor/N186</f>
        <v>0.00197599081254633</v>
      </c>
      <c r="AK186" s="220" t="n">
        <f aca="false">Algae_electricity_factor/O186</f>
        <v>0.00189946419679092</v>
      </c>
      <c r="AL186" s="220" t="n">
        <f aca="false">Algae_electricity_factor/P186</f>
        <v>0.00179790256259129</v>
      </c>
      <c r="AM186" s="220" t="n">
        <f aca="false">Algae_electricity_factor/Q186</f>
        <v>0.00167532231474453</v>
      </c>
      <c r="AN186" s="220" t="n">
        <f aca="false">Algae_electricity_factor/R186</f>
        <v>0.00154324727209655</v>
      </c>
      <c r="AO186" s="220" t="n">
        <f aca="false">Algae_electricity_factor/S186</f>
        <v>0.00141725725288319</v>
      </c>
      <c r="AP186" s="220" t="n">
        <f aca="false">Algae_electricity_factor/T186</f>
        <v>0.00131028608140829</v>
      </c>
      <c r="AQ186" s="220" t="n">
        <f aca="false">Algae_electricity_factor/U186</f>
        <v>0.00122808430954847</v>
      </c>
      <c r="AR186" s="220" t="n">
        <f aca="false">Algae_electricity_factor/V186</f>
        <v>0.00116962793391378</v>
      </c>
      <c r="AS186" s="220" t="n">
        <f aca="false">Algae_electricity_factor/W186</f>
        <v>0.0011303111346868</v>
      </c>
      <c r="AT186" s="220" t="n">
        <f aca="false">Algae_electricity_factor/X186</f>
        <v>0.00110484885118721</v>
      </c>
      <c r="AU186" s="220" t="n">
        <f aca="false">Algae_electricity_factor/Y186</f>
        <v>0.00108876065196275</v>
      </c>
      <c r="AV186" s="220" t="n">
        <f aca="false">Algae_electricity_factor/Z186</f>
        <v>0.00107875327207989</v>
      </c>
      <c r="AW186" s="220" t="n">
        <f aca="false">Algae_electricity_factor/AA186</f>
        <v>0.00107258884373561</v>
      </c>
      <c r="AX186" s="220" t="n">
        <f aca="false">Algae_electricity_factor/AB186</f>
        <v>0.00106881444113615</v>
      </c>
      <c r="AY186" s="220" t="n">
        <f aca="false">Algae_electricity_factor/AC186</f>
        <v>0.00106651194238206</v>
      </c>
      <c r="AZ186" s="221" t="n">
        <f aca="false">Algae_yield_cost_factor/H186</f>
        <v>0.117688591170481</v>
      </c>
      <c r="BA186" s="197" t="n">
        <f aca="false">Algae_yield_cost_factor/I186</f>
        <v>0.117688591170481</v>
      </c>
      <c r="BB186" s="197" t="n">
        <f aca="false">Algae_yield_cost_factor/J186</f>
        <v>0.117688591170481</v>
      </c>
      <c r="BC186" s="197" t="n">
        <f aca="false">Algae_yield_cost_factor/K186</f>
        <v>0.117688591170481</v>
      </c>
      <c r="BD186" s="197" t="n">
        <f aca="false">Algae_yield_cost_factor/L186</f>
        <v>0.117688591170481</v>
      </c>
      <c r="BE186" s="197" t="n">
        <f aca="false">Algae_yield_cost_factor/M186</f>
        <v>0.112359828207652</v>
      </c>
      <c r="BF186" s="197" t="n">
        <f aca="false">Algae_yield_cost_factor/N186</f>
        <v>0.109390432081073</v>
      </c>
      <c r="BG186" s="197" t="n">
        <f aca="false">Algae_yield_cost_factor/O186</f>
        <v>0.105153934871656</v>
      </c>
      <c r="BH186" s="197" t="n">
        <f aca="false">Algae_yield_cost_factor/P186</f>
        <v>0.0995315043535498</v>
      </c>
      <c r="BI186" s="197" t="n">
        <f aca="false">Algae_yield_cost_factor/Q186</f>
        <v>0.0927454878440487</v>
      </c>
      <c r="BJ186" s="197" t="n">
        <f aca="false">Algae_yield_cost_factor/R186</f>
        <v>0.0854338415091293</v>
      </c>
      <c r="BK186" s="197" t="n">
        <f aca="false">Algae_yield_cost_factor/S186</f>
        <v>0.0784590607803205</v>
      </c>
      <c r="BL186" s="197" t="n">
        <f aca="false">Algae_yield_cost_factor/T186</f>
        <v>0.0725371594265489</v>
      </c>
      <c r="BM186" s="197" t="n">
        <f aca="false">Algae_yield_cost_factor/U186</f>
        <v>0.0679864867794491</v>
      </c>
      <c r="BN186" s="197" t="n">
        <f aca="false">Algae_yield_cost_factor/V186</f>
        <v>0.0647503542286442</v>
      </c>
      <c r="BO186" s="197" t="n">
        <f aca="false">Algae_yield_cost_factor/W186</f>
        <v>0.0625737845663884</v>
      </c>
      <c r="BP186" s="197" t="n">
        <f aca="false">Algae_yield_cost_factor/X186</f>
        <v>0.0611641979548993</v>
      </c>
      <c r="BQ186" s="197" t="n">
        <f aca="false">Algae_yield_cost_factor/Y186</f>
        <v>0.0602735586597186</v>
      </c>
      <c r="BR186" s="197" t="n">
        <f aca="false">Algae_yield_cost_factor/Z186</f>
        <v>0.0597195522329503</v>
      </c>
      <c r="BS186" s="197" t="n">
        <f aca="false">Algae_yield_cost_factor/AA186</f>
        <v>0.059378290787891</v>
      </c>
      <c r="BT186" s="197" t="n">
        <f aca="false">Algae_yield_cost_factor/AB186</f>
        <v>0.0591693406609061</v>
      </c>
      <c r="BU186" s="197" t="n">
        <f aca="false">Algae_yield_cost_factor/AC186</f>
        <v>0.0590418748184655</v>
      </c>
    </row>
    <row r="187" customFormat="false" ht="15" hidden="false" customHeight="false" outlineLevel="0" collapsed="false">
      <c r="A187" s="18" t="s">
        <v>717</v>
      </c>
      <c r="B187" s="18" t="s">
        <v>22</v>
      </c>
      <c r="C187" s="18" t="s">
        <v>688</v>
      </c>
      <c r="D187" s="18" t="s">
        <v>688</v>
      </c>
      <c r="E187" s="28" t="n">
        <v>5.581215</v>
      </c>
      <c r="F187" s="185" t="n">
        <f aca="false">E187/$B$2*$F$3/1000</f>
        <v>0.01367397675</v>
      </c>
      <c r="G187" s="18" t="n">
        <f aca="false">LOOKUP(RIGHT(D187,5),Ref!$C$4:$C$21,Ref!$E$4:$E$21)*$G$3</f>
        <v>4.5</v>
      </c>
      <c r="H187" s="218" t="n">
        <f aca="false">$E187</f>
        <v>5.581215</v>
      </c>
      <c r="I187" s="177" t="n">
        <f aca="false">$E187</f>
        <v>5.581215</v>
      </c>
      <c r="J187" s="177" t="n">
        <f aca="false">$E187</f>
        <v>5.581215</v>
      </c>
      <c r="K187" s="177" t="n">
        <f aca="false">$E187</f>
        <v>5.581215</v>
      </c>
      <c r="L187" s="177" t="n">
        <f aca="false">$E187</f>
        <v>5.581215</v>
      </c>
      <c r="M187" s="177" t="n">
        <f aca="false">M$3*$E187</f>
        <v>5.84590899476673</v>
      </c>
      <c r="N187" s="177" t="n">
        <f aca="false">N$3*$E187</f>
        <v>6.00459581220726</v>
      </c>
      <c r="O187" s="177" t="n">
        <f aca="false">O$3*$E187</f>
        <v>6.24651213643367</v>
      </c>
      <c r="P187" s="177" t="n">
        <f aca="false">P$3*$E187</f>
        <v>6.59937106985089</v>
      </c>
      <c r="Q187" s="177" t="n">
        <f aca="false">Q$3*$E187</f>
        <v>7.08223489507154</v>
      </c>
      <c r="R187" s="177" t="n">
        <f aca="false">R$3*$E187</f>
        <v>7.68835064380624</v>
      </c>
      <c r="S187" s="177" t="n">
        <f aca="false">S$3*$E187</f>
        <v>8.3718225</v>
      </c>
      <c r="T187" s="177" t="n">
        <f aca="false">T$3*$E187</f>
        <v>9.05529435619376</v>
      </c>
      <c r="U187" s="177" t="n">
        <f aca="false">U$3*$E187</f>
        <v>9.66141010492846</v>
      </c>
      <c r="V187" s="177" t="n">
        <f aca="false">V$3*$E187</f>
        <v>10.1442739301491</v>
      </c>
      <c r="W187" s="177" t="n">
        <f aca="false">W$3*$E187</f>
        <v>10.4971328635663</v>
      </c>
      <c r="X187" s="177" t="n">
        <f aca="false">X$3*$E187</f>
        <v>10.7390491877927</v>
      </c>
      <c r="Y187" s="177" t="n">
        <f aca="false">Y$3*$E187</f>
        <v>10.8977360052333</v>
      </c>
      <c r="Z187" s="177" t="n">
        <f aca="false">Z$3*$E187</f>
        <v>10.9988321380471</v>
      </c>
      <c r="AA187" s="177" t="n">
        <f aca="false">AA$3*$E187</f>
        <v>11.0620450951664</v>
      </c>
      <c r="AB187" s="177" t="n">
        <f aca="false">AB$3*$E187</f>
        <v>11.101109510986</v>
      </c>
      <c r="AC187" s="177" t="n">
        <f aca="false">AC$3*$E187</f>
        <v>11.1250757600286</v>
      </c>
      <c r="AD187" s="219" t="n">
        <f aca="false">Algae_electricity_factor/H187</f>
        <v>0.00246247404974172</v>
      </c>
      <c r="AE187" s="220" t="n">
        <f aca="false">Algae_electricity_factor/I187</f>
        <v>0.00246247404974172</v>
      </c>
      <c r="AF187" s="220" t="n">
        <f aca="false">Algae_electricity_factor/J187</f>
        <v>0.00246247404974172</v>
      </c>
      <c r="AG187" s="220" t="n">
        <f aca="false">Algae_electricity_factor/K187</f>
        <v>0.00246247404974172</v>
      </c>
      <c r="AH187" s="220" t="n">
        <f aca="false">Algae_electricity_factor/L187</f>
        <v>0.00246247404974172</v>
      </c>
      <c r="AI187" s="220" t="n">
        <f aca="false">Algae_electricity_factor/M187</f>
        <v>0.00235097691664933</v>
      </c>
      <c r="AJ187" s="220" t="n">
        <f aca="false">Algae_electricity_factor/N187</f>
        <v>0.00228884633260222</v>
      </c>
      <c r="AK187" s="220" t="n">
        <f aca="false">Algae_electricity_factor/O187</f>
        <v>0.0022002033780368</v>
      </c>
      <c r="AL187" s="220" t="n">
        <f aca="false">Algae_electricity_factor/P187</f>
        <v>0.00208256164989974</v>
      </c>
      <c r="AM187" s="220" t="n">
        <f aca="false">Algae_electricity_factor/Q187</f>
        <v>0.00194057346404781</v>
      </c>
      <c r="AN187" s="220" t="n">
        <f aca="false">Algae_electricity_factor/R187</f>
        <v>0.00178758718745498</v>
      </c>
      <c r="AO187" s="220" t="n">
        <f aca="false">Algae_electricity_factor/S187</f>
        <v>0.00164164936649448</v>
      </c>
      <c r="AP187" s="220" t="n">
        <f aca="false">Algae_electricity_factor/T187</f>
        <v>0.00151774161754651</v>
      </c>
      <c r="AQ187" s="220" t="n">
        <f aca="false">Algae_electricity_factor/U187</f>
        <v>0.00142252496832925</v>
      </c>
      <c r="AR187" s="220" t="n">
        <f aca="false">Algae_electricity_factor/V187</f>
        <v>0.00135481328660525</v>
      </c>
      <c r="AS187" s="220" t="n">
        <f aca="false">Algae_electricity_factor/W187</f>
        <v>0.00130927152034351</v>
      </c>
      <c r="AT187" s="220" t="n">
        <f aca="false">Algae_electricity_factor/X187</f>
        <v>0.00127977783351173</v>
      </c>
      <c r="AU187" s="220" t="n">
        <f aca="false">Algae_electricity_factor/Y187</f>
        <v>0.00126114241498687</v>
      </c>
      <c r="AV187" s="220" t="n">
        <f aca="false">Algae_electricity_factor/Z187</f>
        <v>0.00124955058237388</v>
      </c>
      <c r="AW187" s="220" t="n">
        <f aca="false">Algae_electricity_factor/AA187</f>
        <v>0.00124241014977733</v>
      </c>
      <c r="AX187" s="220" t="n">
        <f aca="false">Algae_electricity_factor/AB187</f>
        <v>0.00123803815194582</v>
      </c>
      <c r="AY187" s="220" t="n">
        <f aca="false">Algae_electricity_factor/AC187</f>
        <v>0.0012353711021824</v>
      </c>
      <c r="AZ187" s="221" t="n">
        <f aca="false">Algae_yield_cost_factor/H187</f>
        <v>0.136322040861393</v>
      </c>
      <c r="BA187" s="197" t="n">
        <f aca="false">Algae_yield_cost_factor/I187</f>
        <v>0.136322040861393</v>
      </c>
      <c r="BB187" s="197" t="n">
        <f aca="false">Algae_yield_cost_factor/J187</f>
        <v>0.136322040861393</v>
      </c>
      <c r="BC187" s="197" t="n">
        <f aca="false">Algae_yield_cost_factor/K187</f>
        <v>0.136322040861393</v>
      </c>
      <c r="BD187" s="197" t="n">
        <f aca="false">Algae_yield_cost_factor/L187</f>
        <v>0.136322040861393</v>
      </c>
      <c r="BE187" s="197" t="n">
        <f aca="false">Algae_yield_cost_factor/M187</f>
        <v>0.130149583232877</v>
      </c>
      <c r="BF187" s="197" t="n">
        <f aca="false">Algae_yield_cost_factor/N187</f>
        <v>0.126710047284021</v>
      </c>
      <c r="BG187" s="197" t="n">
        <f aca="false">Algae_yield_cost_factor/O187</f>
        <v>0.121802792129146</v>
      </c>
      <c r="BH187" s="197" t="n">
        <f aca="false">Algae_yield_cost_factor/P187</f>
        <v>0.115290171022829</v>
      </c>
      <c r="BI187" s="197" t="n">
        <f aca="false">Algae_yield_cost_factor/Q187</f>
        <v>0.107429735183689</v>
      </c>
      <c r="BJ187" s="197" t="n">
        <f aca="false">Algae_yield_cost_factor/R187</f>
        <v>0.0989604473749067</v>
      </c>
      <c r="BK187" s="197" t="n">
        <f aca="false">Algae_yield_cost_factor/S187</f>
        <v>0.0908813605742618</v>
      </c>
      <c r="BL187" s="197" t="n">
        <f aca="false">Algae_yield_cost_factor/T187</f>
        <v>0.0840218538854904</v>
      </c>
      <c r="BM187" s="197" t="n">
        <f aca="false">Algae_yield_cost_factor/U187</f>
        <v>0.078750680389615</v>
      </c>
      <c r="BN187" s="197" t="n">
        <f aca="false">Algae_yield_cost_factor/V187</f>
        <v>0.0750021760576643</v>
      </c>
      <c r="BO187" s="197" t="n">
        <f aca="false">Algae_yield_cost_factor/W187</f>
        <v>0.0724809935412904</v>
      </c>
      <c r="BP187" s="197" t="n">
        <f aca="false">Algae_yield_cost_factor/X187</f>
        <v>0.0708482292967874</v>
      </c>
      <c r="BQ187" s="197" t="n">
        <f aca="false">Algae_yield_cost_factor/Y187</f>
        <v>0.0698165764816517</v>
      </c>
      <c r="BR187" s="197" t="n">
        <f aca="false">Algae_yield_cost_factor/Z187</f>
        <v>0.0691748550879613</v>
      </c>
      <c r="BS187" s="197" t="n">
        <f aca="false">Algae_yield_cost_factor/AA187</f>
        <v>0.0687795622546024</v>
      </c>
      <c r="BT187" s="197" t="n">
        <f aca="false">Algae_yield_cost_factor/AB187</f>
        <v>0.0685375293823797</v>
      </c>
      <c r="BU187" s="197" t="n">
        <f aca="false">Algae_yield_cost_factor/AC187</f>
        <v>0.0683898820734197</v>
      </c>
    </row>
    <row r="188" customFormat="false" ht="15" hidden="false" customHeight="false" outlineLevel="0" collapsed="false">
      <c r="A188" s="18" t="s">
        <v>718</v>
      </c>
      <c r="B188" s="18" t="s">
        <v>22</v>
      </c>
      <c r="C188" s="18" t="s">
        <v>686</v>
      </c>
      <c r="D188" s="18" t="s">
        <v>686</v>
      </c>
      <c r="E188" s="28" t="n">
        <v>3.898565</v>
      </c>
      <c r="F188" s="185" t="n">
        <f aca="false">E188/$B$2*$F$3/1000</f>
        <v>0.00955148425</v>
      </c>
      <c r="G188" s="18" t="n">
        <f aca="false">LOOKUP(RIGHT(D188,5),Ref!$C$4:$C$21,Ref!$E$4:$E$21)*$G$3</f>
        <v>4.5</v>
      </c>
      <c r="H188" s="218" t="n">
        <f aca="false">$E188</f>
        <v>3.898565</v>
      </c>
      <c r="I188" s="177" t="n">
        <f aca="false">$E188</f>
        <v>3.898565</v>
      </c>
      <c r="J188" s="177" t="n">
        <f aca="false">$E188</f>
        <v>3.898565</v>
      </c>
      <c r="K188" s="177" t="n">
        <f aca="false">$E188</f>
        <v>3.898565</v>
      </c>
      <c r="L188" s="177" t="n">
        <f aca="false">$E188</f>
        <v>3.898565</v>
      </c>
      <c r="M188" s="177" t="n">
        <f aca="false">M$3*$E188</f>
        <v>4.0834578492645</v>
      </c>
      <c r="N188" s="177" t="n">
        <f aca="false">N$3*$E188</f>
        <v>4.19430304559452</v>
      </c>
      <c r="O188" s="177" t="n">
        <f aca="false">O$3*$E188</f>
        <v>4.36328533969316</v>
      </c>
      <c r="P188" s="177" t="n">
        <f aca="false">P$3*$E188</f>
        <v>4.60976276221813</v>
      </c>
      <c r="Q188" s="177" t="n">
        <f aca="false">Q$3*$E188</f>
        <v>4.94705061240332</v>
      </c>
      <c r="R188" s="177" t="n">
        <f aca="false">R$3*$E188</f>
        <v>5.37043183745304</v>
      </c>
      <c r="S188" s="177" t="n">
        <f aca="false">S$3*$E188</f>
        <v>5.8478475</v>
      </c>
      <c r="T188" s="177" t="n">
        <f aca="false">T$3*$E188</f>
        <v>6.32526316254696</v>
      </c>
      <c r="U188" s="177" t="n">
        <f aca="false">U$3*$E188</f>
        <v>6.74864438759669</v>
      </c>
      <c r="V188" s="177" t="n">
        <f aca="false">V$3*$E188</f>
        <v>7.08593223778187</v>
      </c>
      <c r="W188" s="177" t="n">
        <f aca="false">W$3*$E188</f>
        <v>7.33240966030684</v>
      </c>
      <c r="X188" s="177" t="n">
        <f aca="false">X$3*$E188</f>
        <v>7.50139195440548</v>
      </c>
      <c r="Y188" s="177" t="n">
        <f aca="false">Y$3*$E188</f>
        <v>7.6122371507355</v>
      </c>
      <c r="Z188" s="177" t="n">
        <f aca="false">Z$3*$E188</f>
        <v>7.68285436312084</v>
      </c>
      <c r="AA188" s="177" t="n">
        <f aca="false">AA$3*$E188</f>
        <v>7.72700959135914</v>
      </c>
      <c r="AB188" s="177" t="n">
        <f aca="false">AB$3*$E188</f>
        <v>7.75429669000336</v>
      </c>
      <c r="AC188" s="177" t="n">
        <f aca="false">AC$3*$E188</f>
        <v>7.77103748563637</v>
      </c>
      <c r="AD188" s="219" t="n">
        <f aca="false">Algae_electricity_factor/H188</f>
        <v>0.00352529638560067</v>
      </c>
      <c r="AE188" s="220" t="n">
        <f aca="false">Algae_electricity_factor/I188</f>
        <v>0.00352529638560067</v>
      </c>
      <c r="AF188" s="220" t="n">
        <f aca="false">Algae_electricity_factor/J188</f>
        <v>0.00352529638560067</v>
      </c>
      <c r="AG188" s="220" t="n">
        <f aca="false">Algae_electricity_factor/K188</f>
        <v>0.00352529638560067</v>
      </c>
      <c r="AH188" s="220" t="n">
        <f aca="false">Algae_electricity_factor/L188</f>
        <v>0.00352529638560067</v>
      </c>
      <c r="AI188" s="220" t="n">
        <f aca="false">Algae_electricity_factor/M188</f>
        <v>0.00336567625058373</v>
      </c>
      <c r="AJ188" s="220" t="n">
        <f aca="false">Algae_electricity_factor/N188</f>
        <v>0.00327672963878107</v>
      </c>
      <c r="AK188" s="220" t="n">
        <f aca="false">Algae_electricity_factor/O188</f>
        <v>0.00314982771777556</v>
      </c>
      <c r="AL188" s="220" t="n">
        <f aca="false">Algae_electricity_factor/P188</f>
        <v>0.00298141093423995</v>
      </c>
      <c r="AM188" s="220" t="n">
        <f aca="false">Algae_electricity_factor/Q188</f>
        <v>0.00277813957857458</v>
      </c>
      <c r="AN188" s="220" t="n">
        <f aca="false">Algae_electricity_factor/R188</f>
        <v>0.00255912327341766</v>
      </c>
      <c r="AO188" s="220" t="n">
        <f aca="false">Algae_electricity_factor/S188</f>
        <v>0.00235019759040044</v>
      </c>
      <c r="AP188" s="220" t="n">
        <f aca="false">Algae_electricity_factor/T188</f>
        <v>0.00217281032430518</v>
      </c>
      <c r="AQ188" s="220" t="n">
        <f aca="false">Algae_electricity_factor/U188</f>
        <v>0.00203649745255337</v>
      </c>
      <c r="AR188" s="220" t="n">
        <f aca="false">Algae_electricity_factor/V188</f>
        <v>0.00193956089930539</v>
      </c>
      <c r="AS188" s="220" t="n">
        <f aca="false">Algae_electricity_factor/W188</f>
        <v>0.00187436296391467</v>
      </c>
      <c r="AT188" s="220" t="n">
        <f aca="false">Algae_electricity_factor/X188</f>
        <v>0.00183213957983595</v>
      </c>
      <c r="AU188" s="220" t="n">
        <f aca="false">Algae_electricity_factor/Y188</f>
        <v>0.0018054609743998</v>
      </c>
      <c r="AV188" s="220" t="n">
        <f aca="false">Algae_electricity_factor/Z188</f>
        <v>0.00178886601957485</v>
      </c>
      <c r="AW188" s="220" t="n">
        <f aca="false">Algae_electricity_factor/AA188</f>
        <v>0.00177864372252084</v>
      </c>
      <c r="AX188" s="220" t="n">
        <f aca="false">Algae_electricity_factor/AB188</f>
        <v>0.00177238473751554</v>
      </c>
      <c r="AY188" s="220" t="n">
        <f aca="false">Algae_electricity_factor/AC188</f>
        <v>0.00176856656899832</v>
      </c>
      <c r="AZ188" s="221" t="n">
        <f aca="false">Algae_yield_cost_factor/H188</f>
        <v>0.195159659845666</v>
      </c>
      <c r="BA188" s="197" t="n">
        <f aca="false">Algae_yield_cost_factor/I188</f>
        <v>0.195159659845666</v>
      </c>
      <c r="BB188" s="197" t="n">
        <f aca="false">Algae_yield_cost_factor/J188</f>
        <v>0.195159659845666</v>
      </c>
      <c r="BC188" s="197" t="n">
        <f aca="false">Algae_yield_cost_factor/K188</f>
        <v>0.195159659845666</v>
      </c>
      <c r="BD188" s="197" t="n">
        <f aca="false">Algae_yield_cost_factor/L188</f>
        <v>0.195159659845666</v>
      </c>
      <c r="BE188" s="197" t="n">
        <f aca="false">Algae_yield_cost_factor/M188</f>
        <v>0.186323123042217</v>
      </c>
      <c r="BF188" s="197" t="n">
        <f aca="false">Algae_yield_cost_factor/N188</f>
        <v>0.181399057487124</v>
      </c>
      <c r="BG188" s="197" t="n">
        <f aca="false">Algae_yield_cost_factor/O188</f>
        <v>0.174373794068605</v>
      </c>
      <c r="BH188" s="197" t="n">
        <f aca="false">Algae_yield_cost_factor/P188</f>
        <v>0.165050276669794</v>
      </c>
      <c r="BI188" s="197" t="n">
        <f aca="false">Algae_yield_cost_factor/Q188</f>
        <v>0.153797217553955</v>
      </c>
      <c r="BJ188" s="197" t="n">
        <f aca="false">Algae_yield_cost_factor/R188</f>
        <v>0.141672521375311</v>
      </c>
      <c r="BK188" s="197" t="n">
        <f aca="false">Algae_yield_cost_factor/S188</f>
        <v>0.13010643989711</v>
      </c>
      <c r="BL188" s="197" t="n">
        <f aca="false">Algae_yield_cost_factor/T188</f>
        <v>0.120286318487317</v>
      </c>
      <c r="BM188" s="197" t="n">
        <f aca="false">Algae_yield_cost_factor/U188</f>
        <v>0.112740066832469</v>
      </c>
      <c r="BN188" s="197" t="n">
        <f aca="false">Algae_yield_cost_factor/V188</f>
        <v>0.107373679814413</v>
      </c>
      <c r="BO188" s="197" t="n">
        <f aca="false">Algae_yield_cost_factor/W188</f>
        <v>0.10376433594606</v>
      </c>
      <c r="BP188" s="197" t="n">
        <f aca="false">Algae_yield_cost_factor/X188</f>
        <v>0.101426858363185</v>
      </c>
      <c r="BQ188" s="197" t="n">
        <f aca="false">Algae_yield_cost_factor/Y188</f>
        <v>0.0999499364273884</v>
      </c>
      <c r="BR188" s="197" t="n">
        <f aca="false">Algae_yield_cost_factor/Z188</f>
        <v>0.0990312432496973</v>
      </c>
      <c r="BS188" s="197" t="n">
        <f aca="false">Algae_yield_cost_factor/AA188</f>
        <v>0.0984653390539392</v>
      </c>
      <c r="BT188" s="197" t="n">
        <f aca="false">Algae_yield_cost_factor/AB188</f>
        <v>0.0981188429721907</v>
      </c>
      <c r="BU188" s="197" t="n">
        <f aca="false">Algae_yield_cost_factor/AC188</f>
        <v>0.0979074699732854</v>
      </c>
    </row>
    <row r="189" customFormat="false" ht="15" hidden="false" customHeight="false" outlineLevel="0" collapsed="false">
      <c r="A189" s="18" t="s">
        <v>718</v>
      </c>
      <c r="B189" s="18" t="s">
        <v>22</v>
      </c>
      <c r="C189" s="18" t="s">
        <v>687</v>
      </c>
      <c r="D189" s="18" t="s">
        <v>687</v>
      </c>
      <c r="E189" s="28" t="n">
        <v>4.126325</v>
      </c>
      <c r="F189" s="185" t="n">
        <f aca="false">E189/$B$2*$F$3/1000</f>
        <v>0.01010949625</v>
      </c>
      <c r="G189" s="18" t="n">
        <f aca="false">LOOKUP(RIGHT(D189,5),Ref!$C$4:$C$21,Ref!$E$4:$E$21)*$G$3</f>
        <v>4.5</v>
      </c>
      <c r="H189" s="218" t="n">
        <f aca="false">$E189</f>
        <v>4.126325</v>
      </c>
      <c r="I189" s="177" t="n">
        <f aca="false">$E189</f>
        <v>4.126325</v>
      </c>
      <c r="J189" s="177" t="n">
        <f aca="false">$E189</f>
        <v>4.126325</v>
      </c>
      <c r="K189" s="177" t="n">
        <f aca="false">$E189</f>
        <v>4.126325</v>
      </c>
      <c r="L189" s="177" t="n">
        <f aca="false">$E189</f>
        <v>4.126325</v>
      </c>
      <c r="M189" s="177" t="n">
        <f aca="false">M$3*$E189</f>
        <v>4.32201956613942</v>
      </c>
      <c r="N189" s="177" t="n">
        <f aca="false">N$3*$E189</f>
        <v>4.43934050467616</v>
      </c>
      <c r="O189" s="177" t="n">
        <f aca="false">O$3*$E189</f>
        <v>4.61819499721291</v>
      </c>
      <c r="P189" s="177" t="n">
        <f aca="false">P$3*$E189</f>
        <v>4.87907199952026</v>
      </c>
      <c r="Q189" s="177" t="n">
        <f aca="false">Q$3*$E189</f>
        <v>5.23606471053455</v>
      </c>
      <c r="R189" s="177" t="n">
        <f aca="false">R$3*$E189</f>
        <v>5.68418050017851</v>
      </c>
      <c r="S189" s="177" t="n">
        <f aca="false">S$3*$E189</f>
        <v>6.1894875</v>
      </c>
      <c r="T189" s="177" t="n">
        <f aca="false">T$3*$E189</f>
        <v>6.69479449982149</v>
      </c>
      <c r="U189" s="177" t="n">
        <f aca="false">U$3*$E189</f>
        <v>7.14291028946545</v>
      </c>
      <c r="V189" s="177" t="n">
        <f aca="false">V$3*$E189</f>
        <v>7.49990300047974</v>
      </c>
      <c r="W189" s="177" t="n">
        <f aca="false">W$3*$E189</f>
        <v>7.76078000278708</v>
      </c>
      <c r="X189" s="177" t="n">
        <f aca="false">X$3*$E189</f>
        <v>7.93963449532384</v>
      </c>
      <c r="Y189" s="177" t="n">
        <f aca="false">Y$3*$E189</f>
        <v>8.05695543386058</v>
      </c>
      <c r="Z189" s="177" t="n">
        <f aca="false">Z$3*$E189</f>
        <v>8.13169820944491</v>
      </c>
      <c r="AA189" s="177" t="n">
        <f aca="false">AA$3*$E189</f>
        <v>8.17843305217817</v>
      </c>
      <c r="AB189" s="177" t="n">
        <f aca="false">AB$3*$E189</f>
        <v>8.20731430394982</v>
      </c>
      <c r="AC189" s="177" t="n">
        <f aca="false">AC$3*$E189</f>
        <v>8.22503312190985</v>
      </c>
      <c r="AD189" s="219" t="n">
        <f aca="false">Algae_electricity_factor/H189</f>
        <v>0.00333071125118096</v>
      </c>
      <c r="AE189" s="220" t="n">
        <f aca="false">Algae_electricity_factor/I189</f>
        <v>0.00333071125118096</v>
      </c>
      <c r="AF189" s="220" t="n">
        <f aca="false">Algae_electricity_factor/J189</f>
        <v>0.00333071125118096</v>
      </c>
      <c r="AG189" s="220" t="n">
        <f aca="false">Algae_electricity_factor/K189</f>
        <v>0.00333071125118096</v>
      </c>
      <c r="AH189" s="220" t="n">
        <f aca="false">Algae_electricity_factor/L189</f>
        <v>0.00333071125118096</v>
      </c>
      <c r="AI189" s="220" t="n">
        <f aca="false">Algae_electricity_factor/M189</f>
        <v>0.00317990163931755</v>
      </c>
      <c r="AJ189" s="220" t="n">
        <f aca="false">Algae_electricity_factor/N189</f>
        <v>0.00309586459724198</v>
      </c>
      <c r="AK189" s="220" t="n">
        <f aca="false">Algae_electricity_factor/O189</f>
        <v>0.00297596725816548</v>
      </c>
      <c r="AL189" s="220" t="n">
        <f aca="false">Algae_electricity_factor/P189</f>
        <v>0.00281684654476929</v>
      </c>
      <c r="AM189" s="220" t="n">
        <f aca="false">Algae_electricity_factor/Q189</f>
        <v>0.00262479512063291</v>
      </c>
      <c r="AN189" s="220" t="n">
        <f aca="false">Algae_electricity_factor/R189</f>
        <v>0.0024178678180782</v>
      </c>
      <c r="AO189" s="220" t="n">
        <f aca="false">Algae_electricity_factor/S189</f>
        <v>0.00222047416745397</v>
      </c>
      <c r="AP189" s="220" t="n">
        <f aca="false">Algae_electricity_factor/T189</f>
        <v>0.00205287811356954</v>
      </c>
      <c r="AQ189" s="220" t="n">
        <f aca="false">Algae_electricity_factor/U189</f>
        <v>0.0019240892782594</v>
      </c>
      <c r="AR189" s="220" t="n">
        <f aca="false">Algae_electricity_factor/V189</f>
        <v>0.00183250331406288</v>
      </c>
      <c r="AS189" s="220" t="n">
        <f aca="false">Algae_electricity_factor/W189</f>
        <v>0.00177090409708736</v>
      </c>
      <c r="AT189" s="220" t="n">
        <f aca="false">Algae_electricity_factor/X189</f>
        <v>0.00173101130935231</v>
      </c>
      <c r="AU189" s="220" t="n">
        <f aca="false">Algae_electricity_factor/Y189</f>
        <v>0.00170580527798003</v>
      </c>
      <c r="AV189" s="220" t="n">
        <f aca="false">Algae_electricity_factor/Z189</f>
        <v>0.00169012631181592</v>
      </c>
      <c r="AW189" s="220" t="n">
        <f aca="false">Algae_electricity_factor/AA189</f>
        <v>0.00168046825300709</v>
      </c>
      <c r="AX189" s="220" t="n">
        <f aca="false">Algae_electricity_factor/AB189</f>
        <v>0.00167455474404277</v>
      </c>
      <c r="AY189" s="220" t="n">
        <f aca="false">Algae_electricity_factor/AC189</f>
        <v>0.001670947326269</v>
      </c>
      <c r="AZ189" s="221" t="n">
        <f aca="false">Algae_yield_cost_factor/H189</f>
        <v>0.184387468094786</v>
      </c>
      <c r="BA189" s="197" t="n">
        <f aca="false">Algae_yield_cost_factor/I189</f>
        <v>0.184387468094786</v>
      </c>
      <c r="BB189" s="197" t="n">
        <f aca="false">Algae_yield_cost_factor/J189</f>
        <v>0.184387468094786</v>
      </c>
      <c r="BC189" s="197" t="n">
        <f aca="false">Algae_yield_cost_factor/K189</f>
        <v>0.184387468094786</v>
      </c>
      <c r="BD189" s="197" t="n">
        <f aca="false">Algae_yield_cost_factor/L189</f>
        <v>0.184387468094786</v>
      </c>
      <c r="BE189" s="197" t="n">
        <f aca="false">Algae_yield_cost_factor/M189</f>
        <v>0.17603867998354</v>
      </c>
      <c r="BF189" s="197" t="n">
        <f aca="false">Algae_yield_cost_factor/N189</f>
        <v>0.171386407166738</v>
      </c>
      <c r="BG189" s="197" t="n">
        <f aca="false">Algae_yield_cost_factor/O189</f>
        <v>0.16474891591745</v>
      </c>
      <c r="BH189" s="197" t="n">
        <f aca="false">Algae_yield_cost_factor/P189</f>
        <v>0.15594002698895</v>
      </c>
      <c r="BI189" s="197" t="n">
        <f aca="false">Algae_yield_cost_factor/Q189</f>
        <v>0.145308100901706</v>
      </c>
      <c r="BJ189" s="197" t="n">
        <f aca="false">Algae_yield_cost_factor/R189</f>
        <v>0.133852649341857</v>
      </c>
      <c r="BK189" s="197" t="n">
        <f aca="false">Algae_yield_cost_factor/S189</f>
        <v>0.122924978729857</v>
      </c>
      <c r="BL189" s="197" t="n">
        <f aca="false">Algae_yield_cost_factor/T189</f>
        <v>0.113646896750379</v>
      </c>
      <c r="BM189" s="197" t="n">
        <f aca="false">Algae_yield_cost_factor/U189</f>
        <v>0.106517174156356</v>
      </c>
      <c r="BN189" s="197" t="n">
        <f aca="false">Algae_yield_cost_factor/V189</f>
        <v>0.101446994612804</v>
      </c>
      <c r="BO189" s="197" t="n">
        <f aca="false">Algae_yield_cost_factor/W189</f>
        <v>0.0980368750322752</v>
      </c>
      <c r="BP189" s="197" t="n">
        <f aca="false">Algae_yield_cost_factor/X189</f>
        <v>0.0958284187684366</v>
      </c>
      <c r="BQ189" s="197" t="n">
        <f aca="false">Algae_yield_cost_factor/Y189</f>
        <v>0.0944330182203393</v>
      </c>
      <c r="BR189" s="197" t="n">
        <f aca="false">Algae_yield_cost_factor/Z189</f>
        <v>0.093565033980541</v>
      </c>
      <c r="BS189" s="197" t="n">
        <f aca="false">Algae_yield_cost_factor/AA189</f>
        <v>0.0930303658943056</v>
      </c>
      <c r="BT189" s="197" t="n">
        <f aca="false">Algae_yield_cost_factor/AB189</f>
        <v>0.0927029952928765</v>
      </c>
      <c r="BU189" s="197" t="n">
        <f aca="false">Algae_yield_cost_factor/AC189</f>
        <v>0.0925032894104079</v>
      </c>
    </row>
    <row r="190" customFormat="false" ht="15" hidden="false" customHeight="false" outlineLevel="0" collapsed="false">
      <c r="A190" s="18" t="s">
        <v>719</v>
      </c>
      <c r="B190" s="18" t="s">
        <v>22</v>
      </c>
      <c r="C190" s="18" t="s">
        <v>693</v>
      </c>
      <c r="D190" s="18" t="s">
        <v>693</v>
      </c>
      <c r="E190" s="28" t="n">
        <v>5.0098075</v>
      </c>
      <c r="F190" s="185" t="n">
        <f aca="false">E190/$B$2*$F$3/1000</f>
        <v>0.012274028375</v>
      </c>
      <c r="G190" s="18" t="n">
        <f aca="false">LOOKUP(RIGHT(D190,5),Ref!$C$4:$C$21,Ref!$E$4:$E$21)*$G$3</f>
        <v>3</v>
      </c>
      <c r="H190" s="218" t="n">
        <f aca="false">$E190</f>
        <v>5.0098075</v>
      </c>
      <c r="I190" s="177" t="n">
        <f aca="false">$E190</f>
        <v>5.0098075</v>
      </c>
      <c r="J190" s="177" t="n">
        <f aca="false">$E190</f>
        <v>5.0098075</v>
      </c>
      <c r="K190" s="177" t="n">
        <f aca="false">$E190</f>
        <v>5.0098075</v>
      </c>
      <c r="L190" s="177" t="n">
        <f aca="false">$E190</f>
        <v>5.0098075</v>
      </c>
      <c r="M190" s="177" t="n">
        <f aca="false">M$3*$E190</f>
        <v>5.24740199513902</v>
      </c>
      <c r="N190" s="177" t="n">
        <f aca="false">N$3*$E190</f>
        <v>5.38984237920678</v>
      </c>
      <c r="O190" s="177" t="n">
        <f aca="false">O$3*$E190</f>
        <v>5.60699119276832</v>
      </c>
      <c r="P190" s="177" t="n">
        <f aca="false">P$3*$E190</f>
        <v>5.92372425735651</v>
      </c>
      <c r="Q190" s="177" t="n">
        <f aca="false">Q$3*$E190</f>
        <v>6.35715224984006</v>
      </c>
      <c r="R190" s="177" t="n">
        <f aca="false">R$3*$E190</f>
        <v>6.90121357409997</v>
      </c>
      <c r="S190" s="177" t="n">
        <f aca="false">S$3*$E190</f>
        <v>7.51471125</v>
      </c>
      <c r="T190" s="177" t="n">
        <f aca="false">T$3*$E190</f>
        <v>8.12820892590004</v>
      </c>
      <c r="U190" s="177" t="n">
        <f aca="false">U$3*$E190</f>
        <v>8.67227025015994</v>
      </c>
      <c r="V190" s="177" t="n">
        <f aca="false">V$3*$E190</f>
        <v>9.10569824264349</v>
      </c>
      <c r="W190" s="177" t="n">
        <f aca="false">W$3*$E190</f>
        <v>9.42243130723168</v>
      </c>
      <c r="X190" s="177" t="n">
        <f aca="false">X$3*$E190</f>
        <v>9.63958012079323</v>
      </c>
      <c r="Y190" s="177" t="n">
        <f aca="false">Y$3*$E190</f>
        <v>9.78202050486098</v>
      </c>
      <c r="Z190" s="177" t="n">
        <f aca="false">Z$3*$E190</f>
        <v>9.87276636654013</v>
      </c>
      <c r="AA190" s="177" t="n">
        <f aca="false">AA$3*$E190</f>
        <v>9.92950755043534</v>
      </c>
      <c r="AB190" s="177" t="n">
        <f aca="false">AB$3*$E190</f>
        <v>9.96457253240719</v>
      </c>
      <c r="AC190" s="177" t="n">
        <f aca="false">AC$3*$E190</f>
        <v>9.98608510524314</v>
      </c>
      <c r="AD190" s="219" t="n">
        <f aca="false">Algae_electricity_factor/H190</f>
        <v>0.00274333836250779</v>
      </c>
      <c r="AE190" s="220" t="n">
        <f aca="false">Algae_electricity_factor/I190</f>
        <v>0.00274333836250779</v>
      </c>
      <c r="AF190" s="220" t="n">
        <f aca="false">Algae_electricity_factor/J190</f>
        <v>0.00274333836250779</v>
      </c>
      <c r="AG190" s="220" t="n">
        <f aca="false">Algae_electricity_factor/K190</f>
        <v>0.00274333836250779</v>
      </c>
      <c r="AH190" s="220" t="n">
        <f aca="false">Algae_electricity_factor/L190</f>
        <v>0.00274333836250779</v>
      </c>
      <c r="AI190" s="220" t="n">
        <f aca="false">Algae_electricity_factor/M190</f>
        <v>0.00261912411442096</v>
      </c>
      <c r="AJ190" s="220" t="n">
        <f aca="false">Algae_electricity_factor/N190</f>
        <v>0.00254990705415618</v>
      </c>
      <c r="AK190" s="220" t="n">
        <f aca="false">Algae_electricity_factor/O190</f>
        <v>0.00245115368136394</v>
      </c>
      <c r="AL190" s="220" t="n">
        <f aca="false">Algae_electricity_factor/P190</f>
        <v>0.00232009399938923</v>
      </c>
      <c r="AM190" s="220" t="n">
        <f aca="false">Algae_electricity_factor/Q190</f>
        <v>0.00216191095688719</v>
      </c>
      <c r="AN190" s="220" t="n">
        <f aca="false">Algae_electricity_factor/R190</f>
        <v>0.00199147540587768</v>
      </c>
      <c r="AO190" s="220" t="n">
        <f aca="false">Algae_electricity_factor/S190</f>
        <v>0.00182889224167186</v>
      </c>
      <c r="AP190" s="220" t="n">
        <f aca="false">Algae_electricity_factor/T190</f>
        <v>0.00169085185049023</v>
      </c>
      <c r="AQ190" s="220" t="n">
        <f aca="false">Algae_electricity_factor/U190</f>
        <v>0.00158477500205621</v>
      </c>
      <c r="AR190" s="220" t="n">
        <f aca="false">Algae_electricity_factor/V190</f>
        <v>0.00150934027652769</v>
      </c>
      <c r="AS190" s="220" t="n">
        <f aca="false">Algae_electricity_factor/W190</f>
        <v>0.00145860411770592</v>
      </c>
      <c r="AT190" s="220" t="n">
        <f aca="false">Algae_electricity_factor/X190</f>
        <v>0.00142574644655771</v>
      </c>
      <c r="AU190" s="220" t="n">
        <f aca="false">Algae_electricity_factor/Y190</f>
        <v>0.00140498551364717</v>
      </c>
      <c r="AV190" s="220" t="n">
        <f aca="false">Algae_electricity_factor/Z190</f>
        <v>0.00139207154239037</v>
      </c>
      <c r="AW190" s="220" t="n">
        <f aca="false">Algae_electricity_factor/AA190</f>
        <v>0.00138411668793451</v>
      </c>
      <c r="AX190" s="220" t="n">
        <f aca="false">Algae_electricity_factor/AB190</f>
        <v>0.00137924602975509</v>
      </c>
      <c r="AY190" s="220" t="n">
        <f aca="false">Algae_electricity_factor/AC190</f>
        <v>0.00137627478222805</v>
      </c>
      <c r="AZ190" s="221" t="n">
        <f aca="false">Algae_yield_cost_factor/H190</f>
        <v>0.151870629617249</v>
      </c>
      <c r="BA190" s="197" t="n">
        <f aca="false">Algae_yield_cost_factor/I190</f>
        <v>0.151870629617249</v>
      </c>
      <c r="BB190" s="197" t="n">
        <f aca="false">Algae_yield_cost_factor/J190</f>
        <v>0.151870629617249</v>
      </c>
      <c r="BC190" s="197" t="n">
        <f aca="false">Algae_yield_cost_factor/K190</f>
        <v>0.151870629617249</v>
      </c>
      <c r="BD190" s="197" t="n">
        <f aca="false">Algae_yield_cost_factor/L190</f>
        <v>0.151870629617249</v>
      </c>
      <c r="BE190" s="197" t="n">
        <f aca="false">Algae_yield_cost_factor/M190</f>
        <v>0.144994155201189</v>
      </c>
      <c r="BF190" s="197" t="n">
        <f aca="false">Algae_yield_cost_factor/N190</f>
        <v>0.141162313432659</v>
      </c>
      <c r="BG190" s="197" t="n">
        <f aca="false">Algae_yield_cost_factor/O190</f>
        <v>0.135695347670159</v>
      </c>
      <c r="BH190" s="197" t="n">
        <f aca="false">Algae_yield_cost_factor/P190</f>
        <v>0.128439911486654</v>
      </c>
      <c r="BI190" s="197" t="n">
        <f aca="false">Algae_yield_cost_factor/Q190</f>
        <v>0.119682931819882</v>
      </c>
      <c r="BJ190" s="197" t="n">
        <f aca="false">Algae_yield_cost_factor/R190</f>
        <v>0.110247655882095</v>
      </c>
      <c r="BK190" s="197" t="n">
        <f aca="false">Algae_yield_cost_factor/S190</f>
        <v>0.1012470864115</v>
      </c>
      <c r="BL190" s="197" t="n">
        <f aca="false">Algae_yield_cost_factor/T190</f>
        <v>0.0936051996475927</v>
      </c>
      <c r="BM190" s="197" t="n">
        <f aca="false">Algae_yield_cost_factor/U190</f>
        <v>0.0877328078275912</v>
      </c>
      <c r="BN190" s="197" t="n">
        <f aca="false">Algae_yield_cost_factor/V190</f>
        <v>0.0835567574294376</v>
      </c>
      <c r="BO190" s="197" t="n">
        <f aca="false">Algae_yield_cost_factor/W190</f>
        <v>0.0807480144431803</v>
      </c>
      <c r="BP190" s="197" t="n">
        <f aca="false">Algae_yield_cost_factor/X190</f>
        <v>0.0789290207407508</v>
      </c>
      <c r="BQ190" s="197" t="n">
        <f aca="false">Algae_yield_cost_factor/Y190</f>
        <v>0.077779699900254</v>
      </c>
      <c r="BR190" s="197" t="n">
        <f aca="false">Algae_yield_cost_factor/Z190</f>
        <v>0.0770647851917975</v>
      </c>
      <c r="BS190" s="197" t="n">
        <f aca="false">Algae_yield_cost_factor/AA190</f>
        <v>0.0766244061371261</v>
      </c>
      <c r="BT190" s="197" t="n">
        <f aca="false">Algae_yield_cost_factor/AB190</f>
        <v>0.076354767533858</v>
      </c>
      <c r="BU190" s="197" t="n">
        <f aca="false">Algae_yield_cost_factor/AC190</f>
        <v>0.076190279901254</v>
      </c>
    </row>
    <row r="191" customFormat="false" ht="15" hidden="false" customHeight="false" outlineLevel="0" collapsed="false">
      <c r="A191" s="18" t="s">
        <v>719</v>
      </c>
      <c r="B191" s="18" t="s">
        <v>22</v>
      </c>
      <c r="C191" s="18" t="s">
        <v>694</v>
      </c>
      <c r="D191" s="18" t="s">
        <v>694</v>
      </c>
      <c r="E191" s="28" t="n">
        <v>5.7963825</v>
      </c>
      <c r="F191" s="185" t="n">
        <f aca="false">E191/$B$2*$F$3/1000</f>
        <v>0.014201137125</v>
      </c>
      <c r="G191" s="18" t="n">
        <f aca="false">LOOKUP(RIGHT(D191,5),Ref!$C$4:$C$21,Ref!$E$4:$E$21)*$G$3</f>
        <v>3</v>
      </c>
      <c r="H191" s="218" t="n">
        <f aca="false">$E191</f>
        <v>5.7963825</v>
      </c>
      <c r="I191" s="177" t="n">
        <f aca="false">$E191</f>
        <v>5.7963825</v>
      </c>
      <c r="J191" s="177" t="n">
        <f aca="false">$E191</f>
        <v>5.7963825</v>
      </c>
      <c r="K191" s="177" t="n">
        <f aca="false">$E191</f>
        <v>5.7963825</v>
      </c>
      <c r="L191" s="177" t="n">
        <f aca="false">$E191</f>
        <v>5.7963825</v>
      </c>
      <c r="M191" s="177" t="n">
        <f aca="false">M$3*$E191</f>
        <v>6.07128100133367</v>
      </c>
      <c r="N191" s="177" t="n">
        <f aca="false">N$3*$E191</f>
        <v>6.23608552715699</v>
      </c>
      <c r="O191" s="177" t="n">
        <f aca="false">O$3*$E191</f>
        <v>6.48732823115787</v>
      </c>
      <c r="P191" s="177" t="n">
        <f aca="false">P$3*$E191</f>
        <v>6.8537906137445</v>
      </c>
      <c r="Q191" s="177" t="n">
        <f aca="false">Q$3*$E191</f>
        <v>7.35526984835417</v>
      </c>
      <c r="R191" s="177" t="n">
        <f aca="false">R$3*$E191</f>
        <v>7.98475262565987</v>
      </c>
      <c r="S191" s="177" t="n">
        <f aca="false">S$3*$E191</f>
        <v>8.69457375</v>
      </c>
      <c r="T191" s="177" t="n">
        <f aca="false">T$3*$E191</f>
        <v>9.40439487434013</v>
      </c>
      <c r="U191" s="177" t="n">
        <f aca="false">U$3*$E191</f>
        <v>10.0338776516458</v>
      </c>
      <c r="V191" s="177" t="n">
        <f aca="false">V$3*$E191</f>
        <v>10.5353568862555</v>
      </c>
      <c r="W191" s="177" t="n">
        <f aca="false">W$3*$E191</f>
        <v>10.9018192688421</v>
      </c>
      <c r="X191" s="177" t="n">
        <f aca="false">X$3*$E191</f>
        <v>11.153061972843</v>
      </c>
      <c r="Y191" s="177" t="n">
        <f aca="false">Y$3*$E191</f>
        <v>11.3178664986663</v>
      </c>
      <c r="Z191" s="177" t="n">
        <f aca="false">Z$3*$E191</f>
        <v>11.4228600986369</v>
      </c>
      <c r="AA191" s="177" t="n">
        <f aca="false">AA$3*$E191</f>
        <v>11.4885100473344</v>
      </c>
      <c r="AB191" s="177" t="n">
        <f aca="false">AB$3*$E191</f>
        <v>11.5290804780075</v>
      </c>
      <c r="AC191" s="177" t="n">
        <f aca="false">AC$3*$E191</f>
        <v>11.5539706760274</v>
      </c>
      <c r="AD191" s="219" t="n">
        <f aca="false">Algae_electricity_factor/H191</f>
        <v>0.0023710645568213</v>
      </c>
      <c r="AE191" s="220" t="n">
        <f aca="false">Algae_electricity_factor/I191</f>
        <v>0.0023710645568213</v>
      </c>
      <c r="AF191" s="220" t="n">
        <f aca="false">Algae_electricity_factor/J191</f>
        <v>0.0023710645568213</v>
      </c>
      <c r="AG191" s="220" t="n">
        <f aca="false">Algae_electricity_factor/K191</f>
        <v>0.0023710645568213</v>
      </c>
      <c r="AH191" s="220" t="n">
        <f aca="false">Algae_electricity_factor/L191</f>
        <v>0.0023710645568213</v>
      </c>
      <c r="AI191" s="220" t="n">
        <f aca="false">Algae_electricity_factor/M191</f>
        <v>0.00226370630852208</v>
      </c>
      <c r="AJ191" s="220" t="n">
        <f aca="false">Algae_electricity_factor/N191</f>
        <v>0.00220388207372693</v>
      </c>
      <c r="AK191" s="220" t="n">
        <f aca="false">Algae_electricity_factor/O191</f>
        <v>0.00211852963405187</v>
      </c>
      <c r="AL191" s="220" t="n">
        <f aca="false">Algae_electricity_factor/P191</f>
        <v>0.00200525488420496</v>
      </c>
      <c r="AM191" s="220" t="n">
        <f aca="false">Algae_electricity_factor/Q191</f>
        <v>0.00186853744143793</v>
      </c>
      <c r="AN191" s="220" t="n">
        <f aca="false">Algae_electricity_factor/R191</f>
        <v>0.00172123016802834</v>
      </c>
      <c r="AO191" s="220" t="n">
        <f aca="false">Algae_electricity_factor/S191</f>
        <v>0.00158070970454754</v>
      </c>
      <c r="AP191" s="220" t="n">
        <f aca="false">Algae_electricity_factor/T191</f>
        <v>0.00146140153483225</v>
      </c>
      <c r="AQ191" s="220" t="n">
        <f aca="false">Algae_electricity_factor/U191</f>
        <v>0.00136971942260776</v>
      </c>
      <c r="AR191" s="220" t="n">
        <f aca="false">Algae_electricity_factor/V191</f>
        <v>0.00130452126604835</v>
      </c>
      <c r="AS191" s="220" t="n">
        <f aca="false">Algae_electricity_factor/W191</f>
        <v>0.00126067005557587</v>
      </c>
      <c r="AT191" s="220" t="n">
        <f aca="false">Algae_electricity_factor/X191</f>
        <v>0.00123227120381775</v>
      </c>
      <c r="AU191" s="220" t="n">
        <f aca="false">Algae_electricity_factor/Y191</f>
        <v>0.00121432755061643</v>
      </c>
      <c r="AV191" s="220" t="n">
        <f aca="false">Algae_electricity_factor/Z191</f>
        <v>0.0012031660183923</v>
      </c>
      <c r="AW191" s="220" t="n">
        <f aca="false">Algae_electricity_factor/AA191</f>
        <v>0.00119629064577596</v>
      </c>
      <c r="AX191" s="220" t="n">
        <f aca="false">Algae_electricity_factor/AB191</f>
        <v>0.0011920809408648</v>
      </c>
      <c r="AY191" s="220" t="n">
        <f aca="false">Algae_electricity_factor/AC191</f>
        <v>0.00118951289464885</v>
      </c>
      <c r="AZ191" s="221" t="n">
        <f aca="false">Algae_yield_cost_factor/H191</f>
        <v>0.131261630730239</v>
      </c>
      <c r="BA191" s="197" t="n">
        <f aca="false">Algae_yield_cost_factor/I191</f>
        <v>0.131261630730239</v>
      </c>
      <c r="BB191" s="197" t="n">
        <f aca="false">Algae_yield_cost_factor/J191</f>
        <v>0.131261630730239</v>
      </c>
      <c r="BC191" s="197" t="n">
        <f aca="false">Algae_yield_cost_factor/K191</f>
        <v>0.131261630730239</v>
      </c>
      <c r="BD191" s="197" t="n">
        <f aca="false">Algae_yield_cost_factor/L191</f>
        <v>0.131261630730239</v>
      </c>
      <c r="BE191" s="197" t="n">
        <f aca="false">Algae_yield_cost_factor/M191</f>
        <v>0.12531830088561</v>
      </c>
      <c r="BF191" s="197" t="n">
        <f aca="false">Algae_yield_cost_factor/N191</f>
        <v>0.122006443941939</v>
      </c>
      <c r="BG191" s="197" t="n">
        <f aca="false">Algae_yield_cost_factor/O191</f>
        <v>0.117281350993153</v>
      </c>
      <c r="BH191" s="197" t="n">
        <f aca="false">Algae_yield_cost_factor/P191</f>
        <v>0.111010484878315</v>
      </c>
      <c r="BI191" s="197" t="n">
        <f aca="false">Algae_yield_cost_factor/Q191</f>
        <v>0.103441836257913</v>
      </c>
      <c r="BJ191" s="197" t="n">
        <f aca="false">Algae_yield_cost_factor/R191</f>
        <v>0.0952869368602814</v>
      </c>
      <c r="BK191" s="197" t="n">
        <f aca="false">Algae_yield_cost_factor/S191</f>
        <v>0.0875077538201591</v>
      </c>
      <c r="BL191" s="197" t="n">
        <f aca="false">Algae_yield_cost_factor/T191</f>
        <v>0.0809028788616878</v>
      </c>
      <c r="BM191" s="197" t="n">
        <f aca="false">Algae_yield_cost_factor/U191</f>
        <v>0.0758273765837097</v>
      </c>
      <c r="BN191" s="197" t="n">
        <f aca="false">Algae_yield_cost_factor/V191</f>
        <v>0.0722180204715056</v>
      </c>
      <c r="BO191" s="197" t="n">
        <f aca="false">Algae_yield_cost_factor/W191</f>
        <v>0.0697904267648922</v>
      </c>
      <c r="BP191" s="197" t="n">
        <f aca="false">Algae_yield_cost_factor/X191</f>
        <v>0.0682182723577454</v>
      </c>
      <c r="BQ191" s="197" t="n">
        <f aca="false">Algae_yield_cost_factor/Y191</f>
        <v>0.0672249155241293</v>
      </c>
      <c r="BR191" s="197" t="n">
        <f aca="false">Algae_yield_cost_factor/Z191</f>
        <v>0.0666070154686576</v>
      </c>
      <c r="BS191" s="197" t="n">
        <f aca="false">Algae_yield_cost_factor/AA191</f>
        <v>0.0662263962995576</v>
      </c>
      <c r="BT191" s="197" t="n">
        <f aca="false">Algae_yield_cost_factor/AB191</f>
        <v>0.0659933479289675</v>
      </c>
      <c r="BU191" s="197" t="n">
        <f aca="false">Algae_yield_cost_factor/AC191</f>
        <v>0.0658511814353869</v>
      </c>
    </row>
    <row r="192" customFormat="false" ht="15" hidden="false" customHeight="false" outlineLevel="0" collapsed="false">
      <c r="A192" s="18" t="s">
        <v>719</v>
      </c>
      <c r="B192" s="18" t="s">
        <v>22</v>
      </c>
      <c r="C192" s="18" t="s">
        <v>682</v>
      </c>
      <c r="D192" s="18" t="s">
        <v>682</v>
      </c>
      <c r="E192" s="28" t="n">
        <v>6.103895</v>
      </c>
      <c r="F192" s="185" t="n">
        <f aca="false">E192/$B$2*$F$3/1000</f>
        <v>0.01495454275</v>
      </c>
      <c r="G192" s="18" t="n">
        <f aca="false">LOOKUP(RIGHT(D192,5),Ref!$C$4:$C$21,Ref!$E$4:$E$21)*$G$3</f>
        <v>3</v>
      </c>
      <c r="H192" s="218" t="n">
        <f aca="false">$E192</f>
        <v>6.103895</v>
      </c>
      <c r="I192" s="177" t="n">
        <f aca="false">$E192</f>
        <v>6.103895</v>
      </c>
      <c r="J192" s="177" t="n">
        <f aca="false">$E192</f>
        <v>6.103895</v>
      </c>
      <c r="K192" s="177" t="n">
        <f aca="false">$E192</f>
        <v>6.103895</v>
      </c>
      <c r="L192" s="177" t="n">
        <f aca="false">$E192</f>
        <v>6.103895</v>
      </c>
      <c r="M192" s="177" t="n">
        <f aca="false">M$3*$E192</f>
        <v>6.39337755015918</v>
      </c>
      <c r="N192" s="177" t="n">
        <f aca="false">N$3*$E192</f>
        <v>6.56692536574077</v>
      </c>
      <c r="O192" s="177" t="n">
        <f aca="false">O$3*$E192</f>
        <v>6.83149711971619</v>
      </c>
      <c r="P192" s="177" t="n">
        <f aca="false">P$3*$E192</f>
        <v>7.217401242634</v>
      </c>
      <c r="Q192" s="177" t="n">
        <f aca="false">Q$3*$E192</f>
        <v>7.74548519719321</v>
      </c>
      <c r="R192" s="177" t="n">
        <f aca="false">R$3*$E192</f>
        <v>8.40836360057366</v>
      </c>
      <c r="S192" s="177" t="n">
        <f aca="false">S$3*$E192</f>
        <v>9.1558425</v>
      </c>
      <c r="T192" s="177" t="n">
        <f aca="false">T$3*$E192</f>
        <v>9.90332139942634</v>
      </c>
      <c r="U192" s="177" t="n">
        <f aca="false">U$3*$E192</f>
        <v>10.5661998028068</v>
      </c>
      <c r="V192" s="177" t="n">
        <f aca="false">V$3*$E192</f>
        <v>11.094283757366</v>
      </c>
      <c r="W192" s="177" t="n">
        <f aca="false">W$3*$E192</f>
        <v>11.4801878802838</v>
      </c>
      <c r="X192" s="177" t="n">
        <f aca="false">X$3*$E192</f>
        <v>11.7447596342592</v>
      </c>
      <c r="Y192" s="177" t="n">
        <f aca="false">Y$3*$E192</f>
        <v>11.9183074498408</v>
      </c>
      <c r="Z192" s="177" t="n">
        <f aca="false">Z$3*$E192</f>
        <v>12.028871221278</v>
      </c>
      <c r="AA192" s="177" t="n">
        <f aca="false">AA$3*$E192</f>
        <v>12.0980040629434</v>
      </c>
      <c r="AB192" s="177" t="n">
        <f aca="false">AB$3*$E192</f>
        <v>12.1407268558118</v>
      </c>
      <c r="AC192" s="177" t="n">
        <f aca="false">AC$3*$E192</f>
        <v>12.1669375407075</v>
      </c>
      <c r="AD192" s="219" t="n">
        <f aca="false">Algae_electricity_factor/H192</f>
        <v>0.00225161099650785</v>
      </c>
      <c r="AE192" s="220" t="n">
        <f aca="false">Algae_electricity_factor/I192</f>
        <v>0.00225161099650785</v>
      </c>
      <c r="AF192" s="220" t="n">
        <f aca="false">Algae_electricity_factor/J192</f>
        <v>0.00225161099650785</v>
      </c>
      <c r="AG192" s="220" t="n">
        <f aca="false">Algae_electricity_factor/K192</f>
        <v>0.00225161099650785</v>
      </c>
      <c r="AH192" s="220" t="n">
        <f aca="false">Algae_electricity_factor/L192</f>
        <v>0.00225161099650785</v>
      </c>
      <c r="AI192" s="220" t="n">
        <f aca="false">Algae_electricity_factor/M192</f>
        <v>0.0021496614263281</v>
      </c>
      <c r="AJ192" s="220" t="n">
        <f aca="false">Algae_electricity_factor/N192</f>
        <v>0.00209285111952524</v>
      </c>
      <c r="AK192" s="220" t="n">
        <f aca="false">Algae_electricity_factor/O192</f>
        <v>0.00201179871156854</v>
      </c>
      <c r="AL192" s="220" t="n">
        <f aca="false">Algae_electricity_factor/P192</f>
        <v>0.0019042307115121</v>
      </c>
      <c r="AM192" s="220" t="n">
        <f aca="false">Algae_electricity_factor/Q192</f>
        <v>0.00177440105476022</v>
      </c>
      <c r="AN192" s="220" t="n">
        <f aca="false">Algae_electricity_factor/R192</f>
        <v>0.00163451508003194</v>
      </c>
      <c r="AO192" s="220" t="n">
        <f aca="false">Algae_electricity_factor/S192</f>
        <v>0.0015010739976719</v>
      </c>
      <c r="AP192" s="220" t="n">
        <f aca="false">Algae_electricity_factor/T192</f>
        <v>0.00138777653972993</v>
      </c>
      <c r="AQ192" s="220" t="n">
        <f aca="false">Algae_electricity_factor/U192</f>
        <v>0.00130071334633275</v>
      </c>
      <c r="AR192" s="220" t="n">
        <f aca="false">Algae_electricity_factor/V192</f>
        <v>0.00123879985442091</v>
      </c>
      <c r="AS192" s="220" t="n">
        <f aca="false">Algae_electricity_factor/W192</f>
        <v>0.00119715785550275</v>
      </c>
      <c r="AT192" s="220" t="n">
        <f aca="false">Algae_electricity_factor/X192</f>
        <v>0.00117018972984679</v>
      </c>
      <c r="AU192" s="220" t="n">
        <f aca="false">Algae_electricity_factor/Y192</f>
        <v>0.00115315007280776</v>
      </c>
      <c r="AV192" s="220" t="n">
        <f aca="false">Algae_electricity_factor/Z192</f>
        <v>0.00114255085541344</v>
      </c>
      <c r="AW192" s="220" t="n">
        <f aca="false">Algae_electricity_factor/AA192</f>
        <v>0.00113602186212074</v>
      </c>
      <c r="AX192" s="220" t="n">
        <f aca="false">Algae_electricity_factor/AB192</f>
        <v>0.0011320242409498</v>
      </c>
      <c r="AY192" s="220" t="n">
        <f aca="false">Algae_electricity_factor/AC192</f>
        <v>0.00112958557217432</v>
      </c>
      <c r="AZ192" s="221" t="n">
        <f aca="false">Algae_yield_cost_factor/H192</f>
        <v>0.124648706979104</v>
      </c>
      <c r="BA192" s="197" t="n">
        <f aca="false">Algae_yield_cost_factor/I192</f>
        <v>0.124648706979104</v>
      </c>
      <c r="BB192" s="197" t="n">
        <f aca="false">Algae_yield_cost_factor/J192</f>
        <v>0.124648706979104</v>
      </c>
      <c r="BC192" s="197" t="n">
        <f aca="false">Algae_yield_cost_factor/K192</f>
        <v>0.124648706979104</v>
      </c>
      <c r="BD192" s="197" t="n">
        <f aca="false">Algae_yield_cost_factor/L192</f>
        <v>0.124648706979104</v>
      </c>
      <c r="BE192" s="197" t="n">
        <f aca="false">Algae_yield_cost_factor/M192</f>
        <v>0.119004800407458</v>
      </c>
      <c r="BF192" s="197" t="n">
        <f aca="false">Algae_yield_cost_factor/N192</f>
        <v>0.115859793877891</v>
      </c>
      <c r="BG192" s="197" t="n">
        <f aca="false">Algae_yield_cost_factor/O192</f>
        <v>0.111372749772575</v>
      </c>
      <c r="BH192" s="197" t="n">
        <f aca="false">Algae_yield_cost_factor/P192</f>
        <v>0.105417808115175</v>
      </c>
      <c r="BI192" s="197" t="n">
        <f aca="false">Algae_yield_cost_factor/Q192</f>
        <v>0.098230465866997</v>
      </c>
      <c r="BJ192" s="197" t="n">
        <f aca="false">Algae_yield_cost_factor/R192</f>
        <v>0.0904864079895772</v>
      </c>
      <c r="BK192" s="197" t="n">
        <f aca="false">Algae_yield_cost_factor/S192</f>
        <v>0.0830991379860693</v>
      </c>
      <c r="BL192" s="197" t="n">
        <f aca="false">Algae_yield_cost_factor/T192</f>
        <v>0.0768270147559071</v>
      </c>
      <c r="BM192" s="197" t="n">
        <f aca="false">Algae_yield_cost_factor/U192</f>
        <v>0.0720072148440832</v>
      </c>
      <c r="BN192" s="197" t="n">
        <f aca="false">Algae_yield_cost_factor/V192</f>
        <v>0.0685796970697689</v>
      </c>
      <c r="BO192" s="197" t="n">
        <f aca="false">Algae_yield_cost_factor/W192</f>
        <v>0.0662744048460128</v>
      </c>
      <c r="BP192" s="197" t="n">
        <f aca="false">Algae_yield_cost_factor/X192</f>
        <v>0.0647814551322834</v>
      </c>
      <c r="BQ192" s="197" t="n">
        <f aca="false">Algae_yield_cost_factor/Y192</f>
        <v>0.0638381433343859</v>
      </c>
      <c r="BR192" s="197" t="n">
        <f aca="false">Algae_yield_cost_factor/Z192</f>
        <v>0.06325137290857</v>
      </c>
      <c r="BS192" s="197" t="n">
        <f aca="false">Algae_yield_cost_factor/AA192</f>
        <v>0.0628899292253259</v>
      </c>
      <c r="BT192" s="197" t="n">
        <f aca="false">Algae_yield_cost_factor/AB192</f>
        <v>0.0626686217655904</v>
      </c>
      <c r="BU192" s="197" t="n">
        <f aca="false">Algae_yield_cost_factor/AC192</f>
        <v>0.0625336175796604</v>
      </c>
    </row>
    <row r="193" customFormat="false" ht="15" hidden="false" customHeight="false" outlineLevel="0" collapsed="false">
      <c r="A193" s="18" t="s">
        <v>719</v>
      </c>
      <c r="B193" s="18" t="s">
        <v>22</v>
      </c>
      <c r="C193" s="18" t="s">
        <v>686</v>
      </c>
      <c r="D193" s="18" t="s">
        <v>686</v>
      </c>
      <c r="E193" s="28" t="n">
        <v>4.1257045</v>
      </c>
      <c r="F193" s="185" t="n">
        <f aca="false">E193/$B$2*$F$3/1000</f>
        <v>0.010107976025</v>
      </c>
      <c r="G193" s="18" t="n">
        <f aca="false">LOOKUP(RIGHT(D193,5),Ref!$C$4:$C$21,Ref!$E$4:$E$21)*$G$3</f>
        <v>4.5</v>
      </c>
      <c r="H193" s="218" t="n">
        <f aca="false">$E193</f>
        <v>4.1257045</v>
      </c>
      <c r="I193" s="177" t="n">
        <f aca="false">$E193</f>
        <v>4.1257045</v>
      </c>
      <c r="J193" s="177" t="n">
        <f aca="false">$E193</f>
        <v>4.1257045</v>
      </c>
      <c r="K193" s="177" t="n">
        <f aca="false">$E193</f>
        <v>4.1257045</v>
      </c>
      <c r="L193" s="177" t="n">
        <f aca="false">$E193</f>
        <v>4.1257045</v>
      </c>
      <c r="M193" s="177" t="n">
        <f aca="false">M$3*$E193</f>
        <v>4.32136963838512</v>
      </c>
      <c r="N193" s="177" t="n">
        <f aca="false">N$3*$E193</f>
        <v>4.43867293467546</v>
      </c>
      <c r="O193" s="177" t="n">
        <f aca="false">O$3*$E193</f>
        <v>4.6175005317998</v>
      </c>
      <c r="P193" s="177" t="n">
        <f aca="false">P$3*$E193</f>
        <v>4.87833830448274</v>
      </c>
      <c r="Q193" s="177" t="n">
        <f aca="false">Q$3*$E193</f>
        <v>5.23527733238259</v>
      </c>
      <c r="R193" s="177" t="n">
        <f aca="false">R$3*$E193</f>
        <v>5.68332573619352</v>
      </c>
      <c r="S193" s="177" t="n">
        <f aca="false">S$3*$E193</f>
        <v>6.18855675</v>
      </c>
      <c r="T193" s="177" t="n">
        <f aca="false">T$3*$E193</f>
        <v>6.69378776380648</v>
      </c>
      <c r="U193" s="177" t="n">
        <f aca="false">U$3*$E193</f>
        <v>7.14183616761742</v>
      </c>
      <c r="V193" s="177" t="n">
        <f aca="false">V$3*$E193</f>
        <v>7.49877519551726</v>
      </c>
      <c r="W193" s="177" t="n">
        <f aca="false">W$3*$E193</f>
        <v>7.7596129682002</v>
      </c>
      <c r="X193" s="177" t="n">
        <f aca="false">X$3*$E193</f>
        <v>7.93844056532455</v>
      </c>
      <c r="Y193" s="177" t="n">
        <f aca="false">Y$3*$E193</f>
        <v>8.05574386161488</v>
      </c>
      <c r="Z193" s="177" t="n">
        <f aca="false">Z$3*$E193</f>
        <v>8.13047539768409</v>
      </c>
      <c r="AA193" s="177" t="n">
        <f aca="false">AA$3*$E193</f>
        <v>8.17720321262146</v>
      </c>
      <c r="AB193" s="177" t="n">
        <f aca="false">AB$3*$E193</f>
        <v>8.20608012134772</v>
      </c>
      <c r="AC193" s="177" t="n">
        <f aca="false">AC$3*$E193</f>
        <v>8.22379627482385</v>
      </c>
      <c r="AD193" s="219" t="n">
        <f aca="false">Algae_electricity_factor/H193</f>
        <v>0.00333121218534417</v>
      </c>
      <c r="AE193" s="220" t="n">
        <f aca="false">Algae_electricity_factor/I193</f>
        <v>0.00333121218534417</v>
      </c>
      <c r="AF193" s="220" t="n">
        <f aca="false">Algae_electricity_factor/J193</f>
        <v>0.00333121218534417</v>
      </c>
      <c r="AG193" s="220" t="n">
        <f aca="false">Algae_electricity_factor/K193</f>
        <v>0.00333121218534417</v>
      </c>
      <c r="AH193" s="220" t="n">
        <f aca="false">Algae_electricity_factor/L193</f>
        <v>0.00333121218534417</v>
      </c>
      <c r="AI193" s="220" t="n">
        <f aca="false">Algae_electricity_factor/M193</f>
        <v>0.00318037989193287</v>
      </c>
      <c r="AJ193" s="220" t="n">
        <f aca="false">Algae_electricity_factor/N193</f>
        <v>0.00309633021080751</v>
      </c>
      <c r="AK193" s="220" t="n">
        <f aca="false">Algae_electricity_factor/O193</f>
        <v>0.00297641483934433</v>
      </c>
      <c r="AL193" s="220" t="n">
        <f aca="false">Algae_electricity_factor/P193</f>
        <v>0.00281727019442259</v>
      </c>
      <c r="AM193" s="220" t="n">
        <f aca="false">Algae_electricity_factor/Q193</f>
        <v>0.00262518988602931</v>
      </c>
      <c r="AN193" s="220" t="n">
        <f aca="false">Algae_electricity_factor/R193</f>
        <v>0.00241823146190706</v>
      </c>
      <c r="AO193" s="220" t="n">
        <f aca="false">Algae_electricity_factor/S193</f>
        <v>0.00222080812356278</v>
      </c>
      <c r="AP193" s="220" t="n">
        <f aca="false">Algae_electricity_factor/T193</f>
        <v>0.00205318686347382</v>
      </c>
      <c r="AQ193" s="220" t="n">
        <f aca="false">Algae_electricity_factor/U193</f>
        <v>0.0019243786585088</v>
      </c>
      <c r="AR193" s="220" t="n">
        <f aca="false">Algae_electricity_factor/V193</f>
        <v>0.0018327789199155</v>
      </c>
      <c r="AS193" s="220" t="n">
        <f aca="false">Algae_electricity_factor/W193</f>
        <v>0.00177117043850668</v>
      </c>
      <c r="AT193" s="220" t="n">
        <f aca="false">Algae_electricity_factor/X193</f>
        <v>0.00173127165095395</v>
      </c>
      <c r="AU193" s="220" t="n">
        <f aca="false">Algae_electricity_factor/Y193</f>
        <v>0.00170606182863095</v>
      </c>
      <c r="AV193" s="220" t="n">
        <f aca="false">Algae_electricity_factor/Z193</f>
        <v>0.00169038050437297</v>
      </c>
      <c r="AW193" s="220" t="n">
        <f aca="false">Algae_electricity_factor/AA193</f>
        <v>0.00168072099300603</v>
      </c>
      <c r="AX193" s="220" t="n">
        <f aca="false">Algae_electricity_factor/AB193</f>
        <v>0.00167480659465851</v>
      </c>
      <c r="AY193" s="220" t="n">
        <f aca="false">Algae_electricity_factor/AC193</f>
        <v>0.00167119863433432</v>
      </c>
      <c r="AZ193" s="221" t="n">
        <f aca="false">Algae_yield_cost_factor/H193</f>
        <v>0.184415199703764</v>
      </c>
      <c r="BA193" s="197" t="n">
        <f aca="false">Algae_yield_cost_factor/I193</f>
        <v>0.184415199703764</v>
      </c>
      <c r="BB193" s="197" t="n">
        <f aca="false">Algae_yield_cost_factor/J193</f>
        <v>0.184415199703764</v>
      </c>
      <c r="BC193" s="197" t="n">
        <f aca="false">Algae_yield_cost_factor/K193</f>
        <v>0.184415199703764</v>
      </c>
      <c r="BD193" s="197" t="n">
        <f aca="false">Algae_yield_cost_factor/L193</f>
        <v>0.184415199703764</v>
      </c>
      <c r="BE193" s="197" t="n">
        <f aca="false">Algae_yield_cost_factor/M193</f>
        <v>0.176065155946841</v>
      </c>
      <c r="BF193" s="197" t="n">
        <f aca="false">Algae_yield_cost_factor/N193</f>
        <v>0.171412183434923</v>
      </c>
      <c r="BG193" s="197" t="n">
        <f aca="false">Algae_yield_cost_factor/O193</f>
        <v>0.164773693916535</v>
      </c>
      <c r="BH193" s="197" t="n">
        <f aca="false">Algae_yield_cost_factor/P193</f>
        <v>0.155963480143858</v>
      </c>
      <c r="BI193" s="197" t="n">
        <f aca="false">Algae_yield_cost_factor/Q193</f>
        <v>0.145329955030282</v>
      </c>
      <c r="BJ193" s="197" t="n">
        <f aca="false">Algae_yield_cost_factor/R193</f>
        <v>0.133872780587059</v>
      </c>
      <c r="BK193" s="197" t="n">
        <f aca="false">Algae_yield_cost_factor/S193</f>
        <v>0.122943466469176</v>
      </c>
      <c r="BL193" s="197" t="n">
        <f aca="false">Algae_yield_cost_factor/T193</f>
        <v>0.113663989079564</v>
      </c>
      <c r="BM193" s="197" t="n">
        <f aca="false">Algae_yield_cost_factor/U193</f>
        <v>0.106533194185557</v>
      </c>
      <c r="BN193" s="197" t="n">
        <f aca="false">Algae_yield_cost_factor/V193</f>
        <v>0.101462252094322</v>
      </c>
      <c r="BO193" s="197" t="n">
        <f aca="false">Algae_yield_cost_factor/W193</f>
        <v>0.0980516196367318</v>
      </c>
      <c r="BP193" s="197" t="n">
        <f aca="false">Algae_yield_cost_factor/X193</f>
        <v>0.0958428312242598</v>
      </c>
      <c r="BQ193" s="197" t="n">
        <f aca="false">Algae_yield_cost_factor/Y193</f>
        <v>0.0944472208099348</v>
      </c>
      <c r="BR193" s="197" t="n">
        <f aca="false">Algae_yield_cost_factor/Z193</f>
        <v>0.0935791060265601</v>
      </c>
      <c r="BS193" s="197" t="n">
        <f aca="false">Algae_yield_cost_factor/AA193</f>
        <v>0.0930443575270164</v>
      </c>
      <c r="BT193" s="197" t="n">
        <f aca="false">Algae_yield_cost_factor/AB193</f>
        <v>0.0927169376895215</v>
      </c>
      <c r="BU193" s="197" t="n">
        <f aca="false">Algae_yield_cost_factor/AC193</f>
        <v>0.0925172017715766</v>
      </c>
    </row>
    <row r="194" customFormat="false" ht="15" hidden="false" customHeight="false" outlineLevel="0" collapsed="false">
      <c r="A194" s="18" t="s">
        <v>719</v>
      </c>
      <c r="B194" s="18" t="s">
        <v>22</v>
      </c>
      <c r="C194" s="18" t="s">
        <v>687</v>
      </c>
      <c r="D194" s="18" t="s">
        <v>687</v>
      </c>
      <c r="E194" s="28" t="n">
        <v>6.56874075</v>
      </c>
      <c r="F194" s="185" t="n">
        <f aca="false">E194/$B$2*$F$3/1000</f>
        <v>0.0160934148375</v>
      </c>
      <c r="G194" s="18" t="n">
        <f aca="false">LOOKUP(RIGHT(D194,5),Ref!$C$4:$C$21,Ref!$E$4:$E$21)*$G$3</f>
        <v>4.5</v>
      </c>
      <c r="H194" s="218" t="n">
        <f aca="false">$E194</f>
        <v>6.56874075</v>
      </c>
      <c r="I194" s="177" t="n">
        <f aca="false">$E194</f>
        <v>6.56874075</v>
      </c>
      <c r="J194" s="177" t="n">
        <f aca="false">$E194</f>
        <v>6.56874075</v>
      </c>
      <c r="K194" s="177" t="n">
        <f aca="false">$E194</f>
        <v>6.56874075</v>
      </c>
      <c r="L194" s="177" t="n">
        <f aca="false">$E194</f>
        <v>6.56874075</v>
      </c>
      <c r="M194" s="177" t="n">
        <f aca="false">M$3*$E194</f>
        <v>6.88026901574581</v>
      </c>
      <c r="N194" s="177" t="n">
        <f aca="false">N$3*$E194</f>
        <v>7.06703346832638</v>
      </c>
      <c r="O194" s="177" t="n">
        <f aca="false">O$3*$E194</f>
        <v>7.35175384140576</v>
      </c>
      <c r="P194" s="177" t="n">
        <f aca="false">P$3*$E194</f>
        <v>7.76704672206691</v>
      </c>
      <c r="Q194" s="177" t="n">
        <f aca="false">Q$3*$E194</f>
        <v>8.33534722391601</v>
      </c>
      <c r="R194" s="177" t="n">
        <f aca="false">R$3*$E194</f>
        <v>9.04870752591663</v>
      </c>
      <c r="S194" s="177" t="n">
        <f aca="false">S$3*$E194</f>
        <v>9.853111125</v>
      </c>
      <c r="T194" s="177" t="n">
        <f aca="false">T$3*$E194</f>
        <v>10.6575147240834</v>
      </c>
      <c r="U194" s="177" t="n">
        <f aca="false">U$3*$E194</f>
        <v>11.370875026084</v>
      </c>
      <c r="V194" s="177" t="n">
        <f aca="false">V$3*$E194</f>
        <v>11.9391755279331</v>
      </c>
      <c r="W194" s="177" t="n">
        <f aca="false">W$3*$E194</f>
        <v>12.3544684085942</v>
      </c>
      <c r="X194" s="177" t="n">
        <f aca="false">X$3*$E194</f>
        <v>12.6391887816736</v>
      </c>
      <c r="Y194" s="177" t="n">
        <f aca="false">Y$3*$E194</f>
        <v>12.8259532342542</v>
      </c>
      <c r="Z194" s="177" t="n">
        <f aca="false">Z$3*$E194</f>
        <v>12.9449370553902</v>
      </c>
      <c r="AA194" s="177" t="n">
        <f aca="false">AA$3*$E194</f>
        <v>13.019334749684</v>
      </c>
      <c r="AB194" s="177" t="n">
        <f aca="false">AB$3*$E194</f>
        <v>13.0653111222245</v>
      </c>
      <c r="AC194" s="177" t="n">
        <f aca="false">AC$3*$E194</f>
        <v>13.0935178974</v>
      </c>
      <c r="AD194" s="219" t="n">
        <f aca="false">Algae_electricity_factor/H194</f>
        <v>0.0020922727241944</v>
      </c>
      <c r="AE194" s="220" t="n">
        <f aca="false">Algae_electricity_factor/I194</f>
        <v>0.0020922727241944</v>
      </c>
      <c r="AF194" s="220" t="n">
        <f aca="false">Algae_electricity_factor/J194</f>
        <v>0.0020922727241944</v>
      </c>
      <c r="AG194" s="220" t="n">
        <f aca="false">Algae_electricity_factor/K194</f>
        <v>0.0020922727241944</v>
      </c>
      <c r="AH194" s="220" t="n">
        <f aca="false">Algae_electricity_factor/L194</f>
        <v>0.0020922727241944</v>
      </c>
      <c r="AI194" s="220" t="n">
        <f aca="false">Algae_electricity_factor/M194</f>
        <v>0.00199753775209609</v>
      </c>
      <c r="AJ194" s="220" t="n">
        <f aca="false">Algae_electricity_factor/N194</f>
        <v>0.0019447477028553</v>
      </c>
      <c r="AK194" s="220" t="n">
        <f aca="false">Algae_electricity_factor/O194</f>
        <v>0.00186943107726541</v>
      </c>
      <c r="AL194" s="220" t="n">
        <f aca="false">Algae_electricity_factor/P194</f>
        <v>0.00176947527101677</v>
      </c>
      <c r="AM194" s="220" t="n">
        <f aca="false">Algae_electricity_factor/Q194</f>
        <v>0.0016488331840689</v>
      </c>
      <c r="AN194" s="220" t="n">
        <f aca="false">Algae_electricity_factor/R194</f>
        <v>0.00151884642797503</v>
      </c>
      <c r="AO194" s="220" t="n">
        <f aca="false">Algae_electricity_factor/S194</f>
        <v>0.00139484848279627</v>
      </c>
      <c r="AP194" s="220" t="n">
        <f aca="false">Algae_electricity_factor/T194</f>
        <v>0.00128956867143445</v>
      </c>
      <c r="AQ194" s="220" t="n">
        <f aca="false">Algae_electricity_factor/U194</f>
        <v>0.00120866662169819</v>
      </c>
      <c r="AR194" s="220" t="n">
        <f aca="false">Algae_electricity_factor/V194</f>
        <v>0.0011511345210877</v>
      </c>
      <c r="AS194" s="220" t="n">
        <f aca="false">Algae_electricity_factor/W194</f>
        <v>0.00111243937407851</v>
      </c>
      <c r="AT194" s="220" t="n">
        <f aca="false">Algae_electricity_factor/X194</f>
        <v>0.00108737968400765</v>
      </c>
      <c r="AU194" s="220" t="n">
        <f aca="false">Algae_electricity_factor/Y194</f>
        <v>0.00107154586115473</v>
      </c>
      <c r="AV194" s="220" t="n">
        <f aca="false">Algae_electricity_factor/Z194</f>
        <v>0.00106169671159633</v>
      </c>
      <c r="AW194" s="220" t="n">
        <f aca="false">Algae_electricity_factor/AA194</f>
        <v>0.0010556297512715</v>
      </c>
      <c r="AX194" s="220" t="n">
        <f aca="false">Algae_electricity_factor/AB194</f>
        <v>0.00105191502712484</v>
      </c>
      <c r="AY194" s="220" t="n">
        <f aca="false">Algae_electricity_factor/AC194</f>
        <v>0.0010496489340163</v>
      </c>
      <c r="AZ194" s="221" t="n">
        <f aca="false">Algae_yield_cost_factor/H194</f>
        <v>0.11582777403511</v>
      </c>
      <c r="BA194" s="197" t="n">
        <f aca="false">Algae_yield_cost_factor/I194</f>
        <v>0.11582777403511</v>
      </c>
      <c r="BB194" s="197" t="n">
        <f aca="false">Algae_yield_cost_factor/J194</f>
        <v>0.11582777403511</v>
      </c>
      <c r="BC194" s="197" t="n">
        <f aca="false">Algae_yield_cost_factor/K194</f>
        <v>0.11582777403511</v>
      </c>
      <c r="BD194" s="197" t="n">
        <f aca="false">Algae_yield_cost_factor/L194</f>
        <v>0.11582777403511</v>
      </c>
      <c r="BE194" s="197" t="n">
        <f aca="false">Algae_yield_cost_factor/M194</f>
        <v>0.110583266082328</v>
      </c>
      <c r="BF194" s="197" t="n">
        <f aca="false">Algae_yield_cost_factor/N194</f>
        <v>0.107660820158306</v>
      </c>
      <c r="BG194" s="197" t="n">
        <f aca="false">Algae_yield_cost_factor/O194</f>
        <v>0.103491307747694</v>
      </c>
      <c r="BH194" s="197" t="n">
        <f aca="false">Algae_yield_cost_factor/P194</f>
        <v>0.0979577755242018</v>
      </c>
      <c r="BI194" s="197" t="n">
        <f aca="false">Algae_yield_cost_factor/Q194</f>
        <v>0.0912790551907888</v>
      </c>
      <c r="BJ194" s="197" t="n">
        <f aca="false">Algae_yield_cost_factor/R194</f>
        <v>0.0840830159563749</v>
      </c>
      <c r="BK194" s="197" t="n">
        <f aca="false">Algae_yield_cost_factor/S194</f>
        <v>0.0772185160234065</v>
      </c>
      <c r="BL194" s="197" t="n">
        <f aca="false">Algae_yield_cost_factor/T194</f>
        <v>0.071390248006592</v>
      </c>
      <c r="BM194" s="197" t="n">
        <f aca="false">Algae_yield_cost_factor/U194</f>
        <v>0.0669115277004538</v>
      </c>
      <c r="BN194" s="197" t="n">
        <f aca="false">Algae_yield_cost_factor/V194</f>
        <v>0.0637265628188595</v>
      </c>
      <c r="BO194" s="197" t="n">
        <f aca="false">Algae_yield_cost_factor/W194</f>
        <v>0.061584407691467</v>
      </c>
      <c r="BP194" s="197" t="n">
        <f aca="false">Algae_yield_cost_factor/X194</f>
        <v>0.0601971085667628</v>
      </c>
      <c r="BQ194" s="197" t="n">
        <f aca="false">Algae_yield_cost_factor/Y194</f>
        <v>0.0593205514935327</v>
      </c>
      <c r="BR194" s="197" t="n">
        <f aca="false">Algae_yield_cost_factor/Z194</f>
        <v>0.0587753046639504</v>
      </c>
      <c r="BS194" s="197" t="n">
        <f aca="false">Algae_yield_cost_factor/AA194</f>
        <v>0.058439439027765</v>
      </c>
      <c r="BT194" s="197" t="n">
        <f aca="false">Algae_yield_cost_factor/AB194</f>
        <v>0.0582337926872633</v>
      </c>
      <c r="BU194" s="197" t="n">
        <f aca="false">Algae_yield_cost_factor/AC194</f>
        <v>0.0581083422536354</v>
      </c>
    </row>
    <row r="195" customFormat="false" ht="15" hidden="false" customHeight="false" outlineLevel="0" collapsed="false">
      <c r="A195" s="18" t="s">
        <v>719</v>
      </c>
      <c r="B195" s="18" t="s">
        <v>22</v>
      </c>
      <c r="C195" s="18" t="s">
        <v>688</v>
      </c>
      <c r="D195" s="18" t="s">
        <v>688</v>
      </c>
      <c r="E195" s="28" t="n">
        <v>6.591754</v>
      </c>
      <c r="F195" s="185" t="n">
        <f aca="false">E195/$B$2*$F$3/1000</f>
        <v>0.0161497973</v>
      </c>
      <c r="G195" s="18" t="n">
        <f aca="false">LOOKUP(RIGHT(D195,5),Ref!$C$4:$C$21,Ref!$E$4:$E$21)*$G$3</f>
        <v>4.5</v>
      </c>
      <c r="H195" s="218" t="n">
        <f aca="false">$E195</f>
        <v>6.591754</v>
      </c>
      <c r="I195" s="177" t="n">
        <f aca="false">$E195</f>
        <v>6.591754</v>
      </c>
      <c r="J195" s="177" t="n">
        <f aca="false">$E195</f>
        <v>6.591754</v>
      </c>
      <c r="K195" s="177" t="n">
        <f aca="false">$E195</f>
        <v>6.591754</v>
      </c>
      <c r="L195" s="177" t="n">
        <f aca="false">$E195</f>
        <v>6.591754</v>
      </c>
      <c r="M195" s="177" t="n">
        <f aca="false">M$3*$E195</f>
        <v>6.90437368922172</v>
      </c>
      <c r="N195" s="177" t="n">
        <f aca="false">N$3*$E195</f>
        <v>7.09179246158775</v>
      </c>
      <c r="O195" s="177" t="n">
        <f aca="false">O$3*$E195</f>
        <v>7.37751033805098</v>
      </c>
      <c r="P195" s="177" t="n">
        <f aca="false">P$3*$E195</f>
        <v>7.79425817625264</v>
      </c>
      <c r="Q195" s="177" t="n">
        <f aca="false">Q$3*$E195</f>
        <v>8.36454969008135</v>
      </c>
      <c r="R195" s="177" t="n">
        <f aca="false">R$3*$E195</f>
        <v>9.08040921371285</v>
      </c>
      <c r="S195" s="177" t="n">
        <f aca="false">S$3*$E195</f>
        <v>9.887631</v>
      </c>
      <c r="T195" s="177" t="n">
        <f aca="false">T$3*$E195</f>
        <v>10.6948527862871</v>
      </c>
      <c r="U195" s="177" t="n">
        <f aca="false">U$3*$E195</f>
        <v>11.4107123099187</v>
      </c>
      <c r="V195" s="177" t="n">
        <f aca="false">V$3*$E195</f>
        <v>11.9810038237474</v>
      </c>
      <c r="W195" s="177" t="n">
        <f aca="false">W$3*$E195</f>
        <v>12.397751661949</v>
      </c>
      <c r="X195" s="177" t="n">
        <f aca="false">X$3*$E195</f>
        <v>12.6834695384122</v>
      </c>
      <c r="Y195" s="177" t="n">
        <f aca="false">Y$3*$E195</f>
        <v>12.8708883107783</v>
      </c>
      <c r="Z195" s="177" t="n">
        <f aca="false">Z$3*$E195</f>
        <v>12.9902889856958</v>
      </c>
      <c r="AA195" s="177" t="n">
        <f aca="false">AA$3*$E195</f>
        <v>13.0649473285375</v>
      </c>
      <c r="AB195" s="177" t="n">
        <f aca="false">AB$3*$E195</f>
        <v>13.111084776967</v>
      </c>
      <c r="AC195" s="177" t="n">
        <f aca="false">AC$3*$E195</f>
        <v>13.1393903731484</v>
      </c>
      <c r="AD195" s="219" t="n">
        <f aca="false">Algae_electricity_factor/H195</f>
        <v>0.00208496814406746</v>
      </c>
      <c r="AE195" s="220" t="n">
        <f aca="false">Algae_electricity_factor/I195</f>
        <v>0.00208496814406746</v>
      </c>
      <c r="AF195" s="220" t="n">
        <f aca="false">Algae_electricity_factor/J195</f>
        <v>0.00208496814406746</v>
      </c>
      <c r="AG195" s="220" t="n">
        <f aca="false">Algae_electricity_factor/K195</f>
        <v>0.00208496814406746</v>
      </c>
      <c r="AH195" s="220" t="n">
        <f aca="false">Algae_electricity_factor/L195</f>
        <v>0.00208496814406746</v>
      </c>
      <c r="AI195" s="220" t="n">
        <f aca="false">Algae_electricity_factor/M195</f>
        <v>0.00199056391240586</v>
      </c>
      <c r="AJ195" s="220" t="n">
        <f aca="false">Algae_electricity_factor/N195</f>
        <v>0.00193795816473347</v>
      </c>
      <c r="AK195" s="220" t="n">
        <f aca="false">Algae_electricity_factor/O195</f>
        <v>0.00186290448590006</v>
      </c>
      <c r="AL195" s="220" t="n">
        <f aca="false">Algae_electricity_factor/P195</f>
        <v>0.00176329764715812</v>
      </c>
      <c r="AM195" s="220" t="n">
        <f aca="false">Algae_electricity_factor/Q195</f>
        <v>0.0016430767480318</v>
      </c>
      <c r="AN195" s="220" t="n">
        <f aca="false">Algae_electricity_factor/R195</f>
        <v>0.0015135438040363</v>
      </c>
      <c r="AO195" s="220" t="n">
        <f aca="false">Algae_electricity_factor/S195</f>
        <v>0.00138997876271164</v>
      </c>
      <c r="AP195" s="220" t="n">
        <f aca="false">Algae_electricity_factor/T195</f>
        <v>0.00128506650611883</v>
      </c>
      <c r="AQ195" s="220" t="n">
        <f aca="false">Algae_electricity_factor/U195</f>
        <v>0.00120444690307219</v>
      </c>
      <c r="AR195" s="220" t="n">
        <f aca="false">Algae_electricity_factor/V195</f>
        <v>0.00114711565956504</v>
      </c>
      <c r="AS195" s="220" t="n">
        <f aca="false">Algae_electricity_factor/W195</f>
        <v>0.00110855560574833</v>
      </c>
      <c r="AT195" s="220" t="n">
        <f aca="false">Algae_electricity_factor/X195</f>
        <v>0.0010835834045177</v>
      </c>
      <c r="AU195" s="220" t="n">
        <f aca="false">Algae_electricity_factor/Y195</f>
        <v>0.00106780486099162</v>
      </c>
      <c r="AV195" s="220" t="n">
        <f aca="false">Algae_electricity_factor/Z195</f>
        <v>0.00105799009696112</v>
      </c>
      <c r="AW195" s="220" t="n">
        <f aca="false">Algae_electricity_factor/AA195</f>
        <v>0.00105194431771718</v>
      </c>
      <c r="AX195" s="220" t="n">
        <f aca="false">Algae_electricity_factor/AB195</f>
        <v>0.0010482425624822</v>
      </c>
      <c r="AY195" s="220" t="n">
        <f aca="false">Algae_electricity_factor/AC195</f>
        <v>0.00104598438079864</v>
      </c>
      <c r="AZ195" s="221" t="n">
        <f aca="false">Algae_yield_cost_factor/H195</f>
        <v>0.115423394029301</v>
      </c>
      <c r="BA195" s="197" t="n">
        <f aca="false">Algae_yield_cost_factor/I195</f>
        <v>0.115423394029301</v>
      </c>
      <c r="BB195" s="197" t="n">
        <f aca="false">Algae_yield_cost_factor/J195</f>
        <v>0.115423394029301</v>
      </c>
      <c r="BC195" s="197" t="n">
        <f aca="false">Algae_yield_cost_factor/K195</f>
        <v>0.115423394029301</v>
      </c>
      <c r="BD195" s="197" t="n">
        <f aca="false">Algae_yield_cost_factor/L195</f>
        <v>0.115423394029301</v>
      </c>
      <c r="BE195" s="197" t="n">
        <f aca="false">Algae_yield_cost_factor/M195</f>
        <v>0.110197195796913</v>
      </c>
      <c r="BF195" s="197" t="n">
        <f aca="false">Algae_yield_cost_factor/N195</f>
        <v>0.107284952768609</v>
      </c>
      <c r="BG195" s="197" t="n">
        <f aca="false">Algae_yield_cost_factor/O195</f>
        <v>0.103129997034639</v>
      </c>
      <c r="BH195" s="197" t="n">
        <f aca="false">Algae_yield_cost_factor/P195</f>
        <v>0.0976157835782672</v>
      </c>
      <c r="BI195" s="197" t="n">
        <f aca="false">Algae_yield_cost_factor/Q195</f>
        <v>0.09096038011328</v>
      </c>
      <c r="BJ195" s="197" t="n">
        <f aca="false">Algae_yield_cost_factor/R195</f>
        <v>0.0837894638203337</v>
      </c>
      <c r="BK195" s="197" t="n">
        <f aca="false">Algae_yield_cost_factor/S195</f>
        <v>0.076948929352867</v>
      </c>
      <c r="BL195" s="197" t="n">
        <f aca="false">Algae_yield_cost_factor/T195</f>
        <v>0.0711410090900703</v>
      </c>
      <c r="BM195" s="197" t="n">
        <f aca="false">Algae_yield_cost_factor/U195</f>
        <v>0.0666779249727349</v>
      </c>
      <c r="BN195" s="197" t="n">
        <f aca="false">Algae_yield_cost_factor/V195</f>
        <v>0.0635040794977599</v>
      </c>
      <c r="BO195" s="197" t="n">
        <f aca="false">Algae_yield_cost_factor/W195</f>
        <v>0.0613694031008367</v>
      </c>
      <c r="BP195" s="197" t="n">
        <f aca="false">Algae_yield_cost_factor/X195</f>
        <v>0.0599869473397625</v>
      </c>
      <c r="BQ195" s="197" t="n">
        <f aca="false">Algae_yield_cost_factor/Y195</f>
        <v>0.0591134505183357</v>
      </c>
      <c r="BR195" s="197" t="n">
        <f aca="false">Algae_yield_cost_factor/Z195</f>
        <v>0.0585701072642814</v>
      </c>
      <c r="BS195" s="197" t="n">
        <f aca="false">Algae_yield_cost_factor/AA195</f>
        <v>0.0582354142082396</v>
      </c>
      <c r="BT195" s="197" t="n">
        <f aca="false">Algae_yield_cost_factor/AB195</f>
        <v>0.0580304858239368</v>
      </c>
      <c r="BU195" s="197" t="n">
        <f aca="false">Algae_yield_cost_factor/AC195</f>
        <v>0.0579054733651167</v>
      </c>
    </row>
    <row r="196" customFormat="false" ht="15" hidden="false" customHeight="false" outlineLevel="0" collapsed="false">
      <c r="E196" s="185"/>
      <c r="H196" s="222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219"/>
      <c r="AE196" s="220"/>
      <c r="AF196" s="220"/>
      <c r="AG196" s="220"/>
      <c r="AH196" s="220"/>
      <c r="AI196" s="220"/>
      <c r="AJ196" s="220"/>
      <c r="AK196" s="220"/>
      <c r="AL196" s="220"/>
      <c r="AM196" s="220"/>
      <c r="AN196" s="220"/>
      <c r="AO196" s="220"/>
      <c r="AP196" s="220"/>
      <c r="AQ196" s="220"/>
      <c r="AR196" s="220"/>
      <c r="AS196" s="220"/>
      <c r="AT196" s="220"/>
      <c r="AU196" s="220"/>
      <c r="AV196" s="220"/>
      <c r="AW196" s="220"/>
      <c r="AX196" s="220"/>
      <c r="AY196" s="220"/>
    </row>
    <row r="197" customFormat="false" ht="15" hidden="false" customHeight="false" outlineLevel="0" collapsed="false">
      <c r="E197" s="185"/>
      <c r="H197" s="222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  <c r="AB197" s="185"/>
      <c r="AC197" s="185"/>
      <c r="AD197" s="219"/>
      <c r="AE197" s="220"/>
      <c r="AF197" s="220"/>
      <c r="AG197" s="220"/>
      <c r="AH197" s="220"/>
      <c r="AI197" s="220"/>
      <c r="AJ197" s="220"/>
      <c r="AK197" s="220"/>
      <c r="AL197" s="220"/>
      <c r="AM197" s="220"/>
      <c r="AN197" s="220"/>
      <c r="AO197" s="220"/>
      <c r="AP197" s="220"/>
      <c r="AQ197" s="220"/>
      <c r="AR197" s="220"/>
      <c r="AS197" s="220"/>
      <c r="AT197" s="220"/>
      <c r="AU197" s="220"/>
      <c r="AV197" s="220"/>
      <c r="AW197" s="220"/>
      <c r="AX197" s="220"/>
      <c r="AY197" s="220"/>
    </row>
    <row r="198" customFormat="false" ht="15" hidden="false" customHeight="false" outlineLevel="0" collapsed="false">
      <c r="E198" s="185"/>
      <c r="H198" s="222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  <c r="AB198" s="185"/>
      <c r="AC198" s="185"/>
      <c r="AD198" s="219"/>
      <c r="AE198" s="220"/>
      <c r="AF198" s="220"/>
      <c r="AG198" s="220"/>
      <c r="AH198" s="220"/>
      <c r="AI198" s="220"/>
      <c r="AJ198" s="220"/>
      <c r="AK198" s="220"/>
      <c r="AL198" s="220"/>
      <c r="AM198" s="220"/>
      <c r="AN198" s="220"/>
      <c r="AO198" s="220"/>
      <c r="AP198" s="220"/>
      <c r="AQ198" s="220"/>
      <c r="AR198" s="220"/>
      <c r="AS198" s="220"/>
      <c r="AT198" s="220"/>
      <c r="AU198" s="220"/>
      <c r="AV198" s="220"/>
      <c r="AW198" s="220"/>
      <c r="AX198" s="220"/>
      <c r="AY198" s="220"/>
    </row>
    <row r="199" customFormat="false" ht="15" hidden="false" customHeight="false" outlineLevel="0" collapsed="false">
      <c r="E199" s="185"/>
      <c r="H199" s="222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  <c r="AB199" s="185"/>
      <c r="AC199" s="185"/>
      <c r="AD199" s="219"/>
      <c r="AE199" s="220"/>
      <c r="AF199" s="220"/>
      <c r="AG199" s="220"/>
      <c r="AH199" s="220"/>
      <c r="AI199" s="220"/>
      <c r="AJ199" s="220"/>
      <c r="AK199" s="220"/>
      <c r="AL199" s="220"/>
      <c r="AM199" s="220"/>
      <c r="AN199" s="220"/>
      <c r="AO199" s="220"/>
      <c r="AP199" s="220"/>
      <c r="AQ199" s="220"/>
      <c r="AR199" s="220"/>
      <c r="AS199" s="220"/>
      <c r="AT199" s="220"/>
      <c r="AU199" s="220"/>
      <c r="AV199" s="220"/>
      <c r="AW199" s="220"/>
      <c r="AX199" s="220"/>
      <c r="AY199" s="220"/>
    </row>
    <row r="200" customFormat="false" ht="15" hidden="false" customHeight="false" outlineLevel="0" collapsed="false">
      <c r="E200" s="185"/>
      <c r="H200" s="222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  <c r="AB200" s="185"/>
      <c r="AC200" s="185"/>
      <c r="AD200" s="219"/>
      <c r="AE200" s="220"/>
      <c r="AF200" s="220"/>
      <c r="AG200" s="220"/>
      <c r="AH200" s="220"/>
      <c r="AI200" s="220"/>
      <c r="AJ200" s="220"/>
      <c r="AK200" s="220"/>
      <c r="AL200" s="220"/>
      <c r="AM200" s="220"/>
      <c r="AN200" s="220"/>
      <c r="AO200" s="220"/>
      <c r="AP200" s="220"/>
      <c r="AQ200" s="220"/>
      <c r="AR200" s="220"/>
      <c r="AS200" s="220"/>
      <c r="AT200" s="220"/>
      <c r="AU200" s="220"/>
      <c r="AV200" s="220"/>
      <c r="AW200" s="220"/>
      <c r="AX200" s="220"/>
      <c r="AY200" s="220"/>
    </row>
    <row r="201" customFormat="false" ht="15" hidden="false" customHeight="false" outlineLevel="0" collapsed="false">
      <c r="E201" s="185"/>
      <c r="H201" s="222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  <c r="AB201" s="185"/>
      <c r="AC201" s="185"/>
      <c r="AD201" s="219"/>
      <c r="AE201" s="220"/>
      <c r="AF201" s="220"/>
      <c r="AG201" s="220"/>
      <c r="AH201" s="220"/>
      <c r="AI201" s="220"/>
      <c r="AJ201" s="220"/>
      <c r="AK201" s="220"/>
      <c r="AL201" s="220"/>
      <c r="AM201" s="220"/>
      <c r="AN201" s="220"/>
      <c r="AO201" s="220"/>
      <c r="AP201" s="220"/>
      <c r="AQ201" s="220"/>
      <c r="AR201" s="220"/>
      <c r="AS201" s="220"/>
      <c r="AT201" s="220"/>
      <c r="AU201" s="220"/>
      <c r="AV201" s="220"/>
      <c r="AW201" s="220"/>
      <c r="AX201" s="220"/>
      <c r="AY201" s="220"/>
    </row>
    <row r="202" customFormat="false" ht="15" hidden="false" customHeight="false" outlineLevel="0" collapsed="false">
      <c r="E202" s="185"/>
      <c r="H202" s="222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  <c r="AB202" s="185"/>
      <c r="AC202" s="185"/>
      <c r="AD202" s="219"/>
      <c r="AE202" s="220"/>
      <c r="AF202" s="220"/>
      <c r="AG202" s="220"/>
      <c r="AH202" s="220"/>
      <c r="AI202" s="220"/>
      <c r="AJ202" s="220"/>
      <c r="AK202" s="220"/>
      <c r="AL202" s="220"/>
      <c r="AM202" s="220"/>
      <c r="AN202" s="220"/>
      <c r="AO202" s="220"/>
      <c r="AP202" s="220"/>
      <c r="AQ202" s="220"/>
      <c r="AR202" s="220"/>
      <c r="AS202" s="220"/>
      <c r="AT202" s="220"/>
      <c r="AU202" s="220"/>
      <c r="AV202" s="220"/>
      <c r="AW202" s="220"/>
      <c r="AX202" s="220"/>
      <c r="AY202" s="220"/>
    </row>
    <row r="203" customFormat="false" ht="15" hidden="false" customHeight="false" outlineLevel="0" collapsed="false">
      <c r="E203" s="185"/>
      <c r="H203" s="222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  <c r="AB203" s="185"/>
      <c r="AC203" s="185"/>
      <c r="AD203" s="219"/>
      <c r="AE203" s="220"/>
      <c r="AF203" s="220"/>
      <c r="AG203" s="220"/>
      <c r="AH203" s="220"/>
      <c r="AI203" s="220"/>
      <c r="AJ203" s="220"/>
      <c r="AK203" s="220"/>
      <c r="AL203" s="220"/>
      <c r="AM203" s="220"/>
      <c r="AN203" s="220"/>
      <c r="AO203" s="220"/>
      <c r="AP203" s="220"/>
      <c r="AQ203" s="220"/>
      <c r="AR203" s="220"/>
      <c r="AS203" s="220"/>
      <c r="AT203" s="220"/>
      <c r="AU203" s="220"/>
      <c r="AV203" s="220"/>
      <c r="AW203" s="220"/>
      <c r="AX203" s="220"/>
      <c r="AY203" s="220"/>
    </row>
    <row r="204" customFormat="false" ht="15" hidden="false" customHeight="false" outlineLevel="0" collapsed="false">
      <c r="E204" s="185"/>
      <c r="H204" s="222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  <c r="AB204" s="185"/>
      <c r="AC204" s="185"/>
      <c r="AD204" s="219"/>
      <c r="AE204" s="220"/>
      <c r="AF204" s="220"/>
      <c r="AG204" s="220"/>
      <c r="AH204" s="220"/>
      <c r="AI204" s="220"/>
      <c r="AJ204" s="220"/>
      <c r="AK204" s="220"/>
      <c r="AL204" s="220"/>
      <c r="AM204" s="220"/>
      <c r="AN204" s="220"/>
      <c r="AO204" s="220"/>
      <c r="AP204" s="220"/>
      <c r="AQ204" s="220"/>
      <c r="AR204" s="220"/>
      <c r="AS204" s="220"/>
      <c r="AT204" s="220"/>
      <c r="AU204" s="220"/>
      <c r="AV204" s="220"/>
      <c r="AW204" s="220"/>
      <c r="AX204" s="220"/>
      <c r="AY204" s="220"/>
    </row>
    <row r="205" customFormat="false" ht="15" hidden="false" customHeight="false" outlineLevel="0" collapsed="false">
      <c r="E205" s="185"/>
      <c r="H205" s="222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  <c r="AB205" s="185"/>
      <c r="AC205" s="185"/>
      <c r="AD205" s="219"/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220"/>
      <c r="AQ205" s="220"/>
      <c r="AR205" s="220"/>
      <c r="AS205" s="220"/>
      <c r="AT205" s="220"/>
      <c r="AU205" s="220"/>
      <c r="AV205" s="220"/>
      <c r="AW205" s="220"/>
      <c r="AX205" s="220"/>
      <c r="AY205" s="220"/>
    </row>
    <row r="206" customFormat="false" ht="15" hidden="false" customHeight="false" outlineLevel="0" collapsed="false">
      <c r="E206" s="185"/>
      <c r="H206" s="222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  <c r="AB206" s="185"/>
      <c r="AC206" s="185"/>
      <c r="AD206" s="219"/>
      <c r="AE206" s="220"/>
      <c r="AF206" s="220"/>
      <c r="AG206" s="220"/>
      <c r="AH206" s="220"/>
      <c r="AI206" s="220"/>
      <c r="AJ206" s="220"/>
      <c r="AK206" s="220"/>
      <c r="AL206" s="220"/>
      <c r="AM206" s="220"/>
      <c r="AN206" s="220"/>
      <c r="AO206" s="220"/>
      <c r="AP206" s="220"/>
      <c r="AQ206" s="220"/>
      <c r="AR206" s="220"/>
      <c r="AS206" s="220"/>
      <c r="AT206" s="220"/>
      <c r="AU206" s="220"/>
      <c r="AV206" s="220"/>
      <c r="AW206" s="220"/>
      <c r="AX206" s="220"/>
      <c r="AY206" s="220"/>
    </row>
    <row r="207" customFormat="false" ht="15" hidden="false" customHeight="false" outlineLevel="0" collapsed="false">
      <c r="E207" s="185"/>
      <c r="H207" s="222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  <c r="AB207" s="185"/>
      <c r="AC207" s="185"/>
      <c r="AD207" s="219"/>
      <c r="AE207" s="220"/>
      <c r="AF207" s="220"/>
      <c r="AG207" s="220"/>
      <c r="AH207" s="220"/>
      <c r="AI207" s="220"/>
      <c r="AJ207" s="220"/>
      <c r="AK207" s="220"/>
      <c r="AL207" s="220"/>
      <c r="AM207" s="220"/>
      <c r="AN207" s="220"/>
      <c r="AO207" s="220"/>
      <c r="AP207" s="220"/>
      <c r="AQ207" s="220"/>
      <c r="AR207" s="220"/>
      <c r="AS207" s="220"/>
      <c r="AT207" s="220"/>
      <c r="AU207" s="220"/>
      <c r="AV207" s="220"/>
      <c r="AW207" s="220"/>
      <c r="AX207" s="220"/>
      <c r="AY207" s="220"/>
    </row>
    <row r="208" customFormat="false" ht="15" hidden="false" customHeight="false" outlineLevel="0" collapsed="false">
      <c r="E208" s="185"/>
      <c r="H208" s="222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  <c r="AB208" s="185"/>
      <c r="AC208" s="185"/>
      <c r="AD208" s="219"/>
      <c r="AE208" s="220"/>
      <c r="AF208" s="220"/>
      <c r="AG208" s="220"/>
      <c r="AH208" s="220"/>
      <c r="AI208" s="220"/>
      <c r="AJ208" s="220"/>
      <c r="AK208" s="220"/>
      <c r="AL208" s="220"/>
      <c r="AM208" s="220"/>
      <c r="AN208" s="220"/>
      <c r="AO208" s="220"/>
      <c r="AP208" s="220"/>
      <c r="AQ208" s="220"/>
      <c r="AR208" s="220"/>
      <c r="AS208" s="220"/>
      <c r="AT208" s="220"/>
      <c r="AU208" s="220"/>
      <c r="AV208" s="220"/>
      <c r="AW208" s="220"/>
      <c r="AX208" s="220"/>
      <c r="AY208" s="220"/>
    </row>
    <row r="209" customFormat="false" ht="15" hidden="false" customHeight="false" outlineLevel="0" collapsed="false">
      <c r="E209" s="185"/>
      <c r="H209" s="222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185"/>
      <c r="AD209" s="219"/>
      <c r="AE209" s="220"/>
      <c r="AF209" s="220"/>
      <c r="AG209" s="220"/>
      <c r="AH209" s="220"/>
      <c r="AI209" s="220"/>
      <c r="AJ209" s="220"/>
      <c r="AK209" s="220"/>
      <c r="AL209" s="220"/>
      <c r="AM209" s="220"/>
      <c r="AN209" s="220"/>
      <c r="AO209" s="220"/>
      <c r="AP209" s="220"/>
      <c r="AQ209" s="220"/>
      <c r="AR209" s="220"/>
      <c r="AS209" s="220"/>
      <c r="AT209" s="220"/>
      <c r="AU209" s="220"/>
      <c r="AV209" s="220"/>
      <c r="AW209" s="220"/>
      <c r="AX209" s="220"/>
      <c r="AY209" s="220"/>
    </row>
    <row r="210" customFormat="false" ht="15" hidden="false" customHeight="false" outlineLevel="0" collapsed="false">
      <c r="E210" s="185"/>
      <c r="H210" s="222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  <c r="AB210" s="185"/>
      <c r="AC210" s="185"/>
      <c r="AD210" s="219"/>
      <c r="AE210" s="220"/>
      <c r="AF210" s="220"/>
      <c r="AG210" s="220"/>
      <c r="AH210" s="220"/>
      <c r="AI210" s="220"/>
      <c r="AJ210" s="220"/>
      <c r="AK210" s="220"/>
      <c r="AL210" s="220"/>
      <c r="AM210" s="220"/>
      <c r="AN210" s="220"/>
      <c r="AO210" s="220"/>
      <c r="AP210" s="220"/>
      <c r="AQ210" s="220"/>
      <c r="AR210" s="220"/>
      <c r="AS210" s="220"/>
      <c r="AT210" s="220"/>
      <c r="AU210" s="220"/>
      <c r="AV210" s="220"/>
      <c r="AW210" s="220"/>
      <c r="AX210" s="220"/>
      <c r="AY210" s="220"/>
    </row>
    <row r="211" customFormat="false" ht="15" hidden="false" customHeight="false" outlineLevel="0" collapsed="false">
      <c r="E211" s="185"/>
      <c r="H211" s="222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  <c r="AB211" s="185"/>
      <c r="AC211" s="185"/>
      <c r="AD211" s="219"/>
      <c r="AE211" s="220"/>
      <c r="AF211" s="220"/>
      <c r="AG211" s="220"/>
      <c r="AH211" s="220"/>
      <c r="AI211" s="220"/>
      <c r="AJ211" s="220"/>
      <c r="AK211" s="220"/>
      <c r="AL211" s="220"/>
      <c r="AM211" s="220"/>
      <c r="AN211" s="220"/>
      <c r="AO211" s="220"/>
      <c r="AP211" s="220"/>
      <c r="AQ211" s="220"/>
      <c r="AR211" s="220"/>
      <c r="AS211" s="220"/>
      <c r="AT211" s="220"/>
      <c r="AU211" s="220"/>
      <c r="AV211" s="220"/>
      <c r="AW211" s="220"/>
      <c r="AX211" s="220"/>
      <c r="AY211" s="220"/>
    </row>
    <row r="212" customFormat="false" ht="15" hidden="false" customHeight="false" outlineLevel="0" collapsed="false">
      <c r="E212" s="185"/>
      <c r="H212" s="222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  <c r="AB212" s="185"/>
      <c r="AC212" s="185"/>
      <c r="AD212" s="219"/>
      <c r="AE212" s="220"/>
      <c r="AF212" s="220"/>
      <c r="AG212" s="220"/>
      <c r="AH212" s="220"/>
      <c r="AI212" s="220"/>
      <c r="AJ212" s="220"/>
      <c r="AK212" s="220"/>
      <c r="AL212" s="220"/>
      <c r="AM212" s="220"/>
      <c r="AN212" s="220"/>
      <c r="AO212" s="220"/>
      <c r="AP212" s="220"/>
      <c r="AQ212" s="220"/>
      <c r="AR212" s="220"/>
      <c r="AS212" s="220"/>
      <c r="AT212" s="220"/>
      <c r="AU212" s="220"/>
      <c r="AV212" s="220"/>
      <c r="AW212" s="220"/>
      <c r="AX212" s="220"/>
      <c r="AY212" s="220"/>
    </row>
    <row r="213" customFormat="false" ht="15" hidden="false" customHeight="false" outlineLevel="0" collapsed="false">
      <c r="E213" s="185"/>
      <c r="H213" s="222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  <c r="AB213" s="185"/>
      <c r="AC213" s="185"/>
      <c r="AD213" s="219"/>
      <c r="AE213" s="220"/>
      <c r="AF213" s="220"/>
      <c r="AG213" s="220"/>
      <c r="AH213" s="220"/>
      <c r="AI213" s="220"/>
      <c r="AJ213" s="220"/>
      <c r="AK213" s="220"/>
      <c r="AL213" s="220"/>
      <c r="AM213" s="220"/>
      <c r="AN213" s="220"/>
      <c r="AO213" s="220"/>
      <c r="AP213" s="220"/>
      <c r="AQ213" s="220"/>
      <c r="AR213" s="220"/>
      <c r="AS213" s="220"/>
      <c r="AT213" s="220"/>
      <c r="AU213" s="220"/>
      <c r="AV213" s="220"/>
      <c r="AW213" s="220"/>
      <c r="AX213" s="220"/>
      <c r="AY213" s="220"/>
    </row>
    <row r="214" customFormat="false" ht="15" hidden="false" customHeight="false" outlineLevel="0" collapsed="false">
      <c r="E214" s="185"/>
      <c r="H214" s="222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  <c r="AB214" s="185"/>
      <c r="AC214" s="185"/>
      <c r="AD214" s="219"/>
      <c r="AE214" s="220"/>
      <c r="AF214" s="220"/>
      <c r="AG214" s="220"/>
      <c r="AH214" s="220"/>
      <c r="AI214" s="220"/>
      <c r="AJ214" s="220"/>
      <c r="AK214" s="220"/>
      <c r="AL214" s="220"/>
      <c r="AM214" s="220"/>
      <c r="AN214" s="220"/>
      <c r="AO214" s="220"/>
      <c r="AP214" s="220"/>
      <c r="AQ214" s="220"/>
      <c r="AR214" s="220"/>
      <c r="AS214" s="220"/>
      <c r="AT214" s="220"/>
      <c r="AU214" s="220"/>
      <c r="AV214" s="220"/>
      <c r="AW214" s="220"/>
      <c r="AX214" s="220"/>
      <c r="AY214" s="220"/>
    </row>
    <row r="215" customFormat="false" ht="15" hidden="false" customHeight="false" outlineLevel="0" collapsed="false">
      <c r="E215" s="185"/>
      <c r="H215" s="222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  <c r="AB215" s="185"/>
      <c r="AC215" s="185"/>
      <c r="AD215" s="219"/>
      <c r="AE215" s="220"/>
      <c r="AF215" s="220"/>
      <c r="AG215" s="220"/>
      <c r="AH215" s="220"/>
      <c r="AI215" s="220"/>
      <c r="AJ215" s="220"/>
      <c r="AK215" s="220"/>
      <c r="AL215" s="220"/>
      <c r="AM215" s="220"/>
      <c r="AN215" s="220"/>
      <c r="AO215" s="220"/>
      <c r="AP215" s="220"/>
      <c r="AQ215" s="220"/>
      <c r="AR215" s="220"/>
      <c r="AS215" s="220"/>
      <c r="AT215" s="220"/>
      <c r="AU215" s="220"/>
      <c r="AV215" s="220"/>
      <c r="AW215" s="220"/>
      <c r="AX215" s="220"/>
      <c r="AY215" s="220"/>
    </row>
    <row r="216" customFormat="false" ht="15" hidden="false" customHeight="false" outlineLevel="0" collapsed="false">
      <c r="E216" s="185"/>
      <c r="H216" s="222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  <c r="AB216" s="185"/>
      <c r="AC216" s="185"/>
      <c r="AD216" s="219"/>
      <c r="AE216" s="220"/>
      <c r="AF216" s="220"/>
      <c r="AG216" s="220"/>
      <c r="AH216" s="220"/>
      <c r="AI216" s="220"/>
      <c r="AJ216" s="220"/>
      <c r="AK216" s="220"/>
      <c r="AL216" s="220"/>
      <c r="AM216" s="220"/>
      <c r="AN216" s="220"/>
      <c r="AO216" s="220"/>
      <c r="AP216" s="220"/>
      <c r="AQ216" s="220"/>
      <c r="AR216" s="220"/>
      <c r="AS216" s="220"/>
      <c r="AT216" s="220"/>
      <c r="AU216" s="220"/>
      <c r="AV216" s="220"/>
      <c r="AW216" s="220"/>
      <c r="AX216" s="220"/>
      <c r="AY216" s="220"/>
    </row>
    <row r="217" customFormat="false" ht="15" hidden="false" customHeight="false" outlineLevel="0" collapsed="false">
      <c r="E217" s="185"/>
      <c r="H217" s="222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  <c r="AB217" s="185"/>
      <c r="AC217" s="185"/>
      <c r="AD217" s="219"/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220"/>
      <c r="AQ217" s="220"/>
      <c r="AR217" s="220"/>
      <c r="AS217" s="220"/>
      <c r="AT217" s="220"/>
      <c r="AU217" s="220"/>
      <c r="AV217" s="220"/>
      <c r="AW217" s="220"/>
      <c r="AX217" s="220"/>
      <c r="AY217" s="220"/>
    </row>
    <row r="218" customFormat="false" ht="15" hidden="false" customHeight="false" outlineLevel="0" collapsed="false">
      <c r="E218" s="185"/>
      <c r="H218" s="222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  <c r="AB218" s="185"/>
      <c r="AC218" s="185"/>
      <c r="AD218" s="219"/>
      <c r="AE218" s="220"/>
      <c r="AF218" s="220"/>
      <c r="AG218" s="220"/>
      <c r="AH218" s="220"/>
      <c r="AI218" s="220"/>
      <c r="AJ218" s="220"/>
      <c r="AK218" s="220"/>
      <c r="AL218" s="220"/>
      <c r="AM218" s="220"/>
      <c r="AN218" s="220"/>
      <c r="AO218" s="220"/>
      <c r="AP218" s="220"/>
      <c r="AQ218" s="220"/>
      <c r="AR218" s="220"/>
      <c r="AS218" s="220"/>
      <c r="AT218" s="220"/>
      <c r="AU218" s="220"/>
      <c r="AV218" s="220"/>
      <c r="AW218" s="220"/>
      <c r="AX218" s="220"/>
      <c r="AY218" s="220"/>
    </row>
    <row r="219" customFormat="false" ht="15" hidden="false" customHeight="false" outlineLevel="0" collapsed="false">
      <c r="E219" s="185"/>
      <c r="H219" s="222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  <c r="AB219" s="185"/>
      <c r="AC219" s="185"/>
      <c r="AD219" s="219"/>
      <c r="AE219" s="220"/>
      <c r="AF219" s="220"/>
      <c r="AG219" s="220"/>
      <c r="AH219" s="220"/>
      <c r="AI219" s="220"/>
      <c r="AJ219" s="220"/>
      <c r="AK219" s="220"/>
      <c r="AL219" s="220"/>
      <c r="AM219" s="220"/>
      <c r="AN219" s="220"/>
      <c r="AO219" s="220"/>
      <c r="AP219" s="220"/>
      <c r="AQ219" s="220"/>
      <c r="AR219" s="220"/>
      <c r="AS219" s="220"/>
      <c r="AT219" s="220"/>
      <c r="AU219" s="220"/>
      <c r="AV219" s="220"/>
      <c r="AW219" s="220"/>
      <c r="AX219" s="220"/>
      <c r="AY219" s="220"/>
    </row>
    <row r="220" customFormat="false" ht="15" hidden="false" customHeight="false" outlineLevel="0" collapsed="false">
      <c r="E220" s="185"/>
      <c r="H220" s="222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  <c r="AB220" s="185"/>
      <c r="AC220" s="185"/>
      <c r="AD220" s="219"/>
      <c r="AE220" s="220"/>
      <c r="AF220" s="220"/>
      <c r="AG220" s="220"/>
      <c r="AH220" s="220"/>
      <c r="AI220" s="220"/>
      <c r="AJ220" s="220"/>
      <c r="AK220" s="220"/>
      <c r="AL220" s="220"/>
      <c r="AM220" s="220"/>
      <c r="AN220" s="220"/>
      <c r="AO220" s="220"/>
      <c r="AP220" s="220"/>
      <c r="AQ220" s="220"/>
      <c r="AR220" s="220"/>
      <c r="AS220" s="220"/>
      <c r="AT220" s="220"/>
      <c r="AU220" s="220"/>
      <c r="AV220" s="220"/>
      <c r="AW220" s="220"/>
      <c r="AX220" s="220"/>
      <c r="AY220" s="220"/>
    </row>
    <row r="221" customFormat="false" ht="15" hidden="false" customHeight="false" outlineLevel="0" collapsed="false">
      <c r="E221" s="185"/>
      <c r="H221" s="222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  <c r="AB221" s="185"/>
      <c r="AC221" s="185"/>
      <c r="AD221" s="219"/>
      <c r="AE221" s="220"/>
      <c r="AF221" s="220"/>
      <c r="AG221" s="220"/>
      <c r="AH221" s="220"/>
      <c r="AI221" s="220"/>
      <c r="AJ221" s="220"/>
      <c r="AK221" s="220"/>
      <c r="AL221" s="220"/>
      <c r="AM221" s="220"/>
      <c r="AN221" s="220"/>
      <c r="AO221" s="220"/>
      <c r="AP221" s="220"/>
      <c r="AQ221" s="220"/>
      <c r="AR221" s="220"/>
      <c r="AS221" s="220"/>
      <c r="AT221" s="220"/>
      <c r="AU221" s="220"/>
      <c r="AV221" s="220"/>
      <c r="AW221" s="220"/>
      <c r="AX221" s="220"/>
      <c r="AY221" s="220"/>
    </row>
    <row r="222" customFormat="false" ht="15" hidden="false" customHeight="false" outlineLevel="0" collapsed="false">
      <c r="E222" s="185"/>
      <c r="H222" s="222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  <c r="AB222" s="185"/>
      <c r="AC222" s="185"/>
      <c r="AD222" s="219"/>
      <c r="AE222" s="220"/>
      <c r="AF222" s="220"/>
      <c r="AG222" s="220"/>
      <c r="AH222" s="220"/>
      <c r="AI222" s="220"/>
      <c r="AJ222" s="220"/>
      <c r="AK222" s="220"/>
      <c r="AL222" s="220"/>
      <c r="AM222" s="220"/>
      <c r="AN222" s="220"/>
      <c r="AO222" s="220"/>
      <c r="AP222" s="220"/>
      <c r="AQ222" s="220"/>
      <c r="AR222" s="220"/>
      <c r="AS222" s="220"/>
      <c r="AT222" s="220"/>
      <c r="AU222" s="220"/>
      <c r="AV222" s="220"/>
      <c r="AW222" s="220"/>
      <c r="AX222" s="220"/>
      <c r="AY222" s="220"/>
    </row>
    <row r="223" customFormat="false" ht="15" hidden="false" customHeight="false" outlineLevel="0" collapsed="false">
      <c r="E223" s="185"/>
      <c r="H223" s="222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  <c r="AB223" s="185"/>
      <c r="AC223" s="185"/>
      <c r="AD223" s="219"/>
      <c r="AE223" s="220"/>
      <c r="AF223" s="220"/>
      <c r="AG223" s="220"/>
      <c r="AH223" s="220"/>
      <c r="AI223" s="220"/>
      <c r="AJ223" s="220"/>
      <c r="AK223" s="220"/>
      <c r="AL223" s="220"/>
      <c r="AM223" s="220"/>
      <c r="AN223" s="220"/>
      <c r="AO223" s="220"/>
      <c r="AP223" s="220"/>
      <c r="AQ223" s="220"/>
      <c r="AR223" s="220"/>
      <c r="AS223" s="220"/>
      <c r="AT223" s="220"/>
      <c r="AU223" s="220"/>
      <c r="AV223" s="220"/>
      <c r="AW223" s="220"/>
      <c r="AX223" s="220"/>
      <c r="AY223" s="220"/>
    </row>
    <row r="224" customFormat="false" ht="15" hidden="false" customHeight="false" outlineLevel="0" collapsed="false">
      <c r="E224" s="185"/>
      <c r="H224" s="222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5"/>
      <c r="AD224" s="219"/>
      <c r="AE224" s="220"/>
      <c r="AF224" s="220"/>
      <c r="AG224" s="220"/>
      <c r="AH224" s="220"/>
      <c r="AI224" s="220"/>
      <c r="AJ224" s="220"/>
      <c r="AK224" s="220"/>
      <c r="AL224" s="220"/>
      <c r="AM224" s="220"/>
      <c r="AN224" s="220"/>
      <c r="AO224" s="220"/>
      <c r="AP224" s="220"/>
      <c r="AQ224" s="220"/>
      <c r="AR224" s="220"/>
      <c r="AS224" s="220"/>
      <c r="AT224" s="220"/>
      <c r="AU224" s="220"/>
      <c r="AV224" s="220"/>
      <c r="AW224" s="220"/>
      <c r="AX224" s="220"/>
      <c r="AY224" s="220"/>
    </row>
    <row r="225" customFormat="false" ht="15" hidden="false" customHeight="false" outlineLevel="0" collapsed="false">
      <c r="E225" s="185"/>
      <c r="H225" s="222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  <c r="AB225" s="185"/>
      <c r="AC225" s="185"/>
      <c r="AD225" s="219"/>
      <c r="AE225" s="220"/>
      <c r="AF225" s="220"/>
      <c r="AG225" s="220"/>
      <c r="AH225" s="220"/>
      <c r="AI225" s="220"/>
      <c r="AJ225" s="220"/>
      <c r="AK225" s="220"/>
      <c r="AL225" s="220"/>
      <c r="AM225" s="220"/>
      <c r="AN225" s="220"/>
      <c r="AO225" s="220"/>
      <c r="AP225" s="220"/>
      <c r="AQ225" s="220"/>
      <c r="AR225" s="220"/>
      <c r="AS225" s="220"/>
      <c r="AT225" s="220"/>
      <c r="AU225" s="220"/>
      <c r="AV225" s="220"/>
      <c r="AW225" s="220"/>
      <c r="AX225" s="220"/>
      <c r="AY225" s="220"/>
    </row>
    <row r="226" customFormat="false" ht="15" hidden="false" customHeight="false" outlineLevel="0" collapsed="false">
      <c r="E226" s="185"/>
      <c r="H226" s="222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  <c r="AB226" s="185"/>
      <c r="AC226" s="185"/>
      <c r="AD226" s="219"/>
      <c r="AE226" s="220"/>
      <c r="AF226" s="220"/>
      <c r="AG226" s="220"/>
      <c r="AH226" s="220"/>
      <c r="AI226" s="220"/>
      <c r="AJ226" s="220"/>
      <c r="AK226" s="220"/>
      <c r="AL226" s="220"/>
      <c r="AM226" s="220"/>
      <c r="AN226" s="220"/>
      <c r="AO226" s="220"/>
      <c r="AP226" s="220"/>
      <c r="AQ226" s="220"/>
      <c r="AR226" s="220"/>
      <c r="AS226" s="220"/>
      <c r="AT226" s="220"/>
      <c r="AU226" s="220"/>
      <c r="AV226" s="220"/>
      <c r="AW226" s="220"/>
      <c r="AX226" s="220"/>
      <c r="AY226" s="220"/>
    </row>
    <row r="227" customFormat="false" ht="15" hidden="false" customHeight="false" outlineLevel="0" collapsed="false">
      <c r="E227" s="185"/>
      <c r="H227" s="222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  <c r="AB227" s="185"/>
      <c r="AC227" s="185"/>
      <c r="AD227" s="219"/>
      <c r="AE227" s="220"/>
      <c r="AF227" s="220"/>
      <c r="AG227" s="220"/>
      <c r="AH227" s="220"/>
      <c r="AI227" s="220"/>
      <c r="AJ227" s="220"/>
      <c r="AK227" s="220"/>
      <c r="AL227" s="220"/>
      <c r="AM227" s="220"/>
      <c r="AN227" s="220"/>
      <c r="AO227" s="220"/>
      <c r="AP227" s="220"/>
      <c r="AQ227" s="220"/>
      <c r="AR227" s="220"/>
      <c r="AS227" s="220"/>
      <c r="AT227" s="220"/>
      <c r="AU227" s="220"/>
      <c r="AV227" s="220"/>
      <c r="AW227" s="220"/>
      <c r="AX227" s="220"/>
      <c r="AY227" s="2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57:AC68 A1"/>
    </sheetView>
  </sheetViews>
  <sheetFormatPr defaultRowHeight="15"/>
  <cols>
    <col collapsed="false" hidden="false" max="1025" min="1" style="0" width="8.63775510204082"/>
  </cols>
  <sheetData>
    <row r="2" customFormat="false" ht="15" hidden="false" customHeight="false" outlineLevel="0" collapsed="false">
      <c r="D2" s="0" t="s">
        <v>720</v>
      </c>
    </row>
    <row r="3" customFormat="false" ht="15" hidden="false" customHeight="false" outlineLevel="0" collapsed="false">
      <c r="D3" s="0" t="s">
        <v>721</v>
      </c>
      <c r="E3" s="0" t="s">
        <v>722</v>
      </c>
    </row>
    <row r="4" customFormat="false" ht="15" hidden="false" customHeight="false" outlineLevel="0" collapsed="false">
      <c r="C4" s="0" t="s">
        <v>723</v>
      </c>
      <c r="D4" s="0" t="n">
        <v>30</v>
      </c>
      <c r="E4" s="0" t="n">
        <f aca="false">D4/10</f>
        <v>3</v>
      </c>
    </row>
    <row r="5" customFormat="false" ht="15" hidden="false" customHeight="false" outlineLevel="0" collapsed="false">
      <c r="C5" s="0" t="s">
        <v>724</v>
      </c>
      <c r="D5" s="0" t="n">
        <v>40</v>
      </c>
      <c r="E5" s="0" t="n">
        <f aca="false">D5/10</f>
        <v>4</v>
      </c>
    </row>
    <row r="6" customFormat="false" ht="15" hidden="false" customHeight="false" outlineLevel="0" collapsed="false">
      <c r="C6" s="0" t="s">
        <v>725</v>
      </c>
      <c r="D6" s="0" t="n">
        <v>50</v>
      </c>
      <c r="E6" s="0" t="n">
        <f aca="false">D6/10</f>
        <v>5</v>
      </c>
    </row>
    <row r="7" customFormat="false" ht="15" hidden="false" customHeight="false" outlineLevel="0" collapsed="false">
      <c r="C7" s="0" t="s">
        <v>726</v>
      </c>
      <c r="D7" s="0" t="n">
        <v>60</v>
      </c>
      <c r="E7" s="0" t="n">
        <f aca="false">D7/10</f>
        <v>6</v>
      </c>
    </row>
    <row r="8" customFormat="false" ht="15" hidden="false" customHeight="false" outlineLevel="0" collapsed="false">
      <c r="C8" s="0" t="s">
        <v>727</v>
      </c>
      <c r="D8" s="0" t="n">
        <v>60</v>
      </c>
      <c r="E8" s="0" t="n">
        <f aca="false">D8/10</f>
        <v>6</v>
      </c>
    </row>
    <row r="9" customFormat="false" ht="15" hidden="false" customHeight="false" outlineLevel="0" collapsed="false">
      <c r="C9" s="0" t="s">
        <v>728</v>
      </c>
      <c r="D9" s="0" t="n">
        <v>60</v>
      </c>
      <c r="E9" s="0" t="n">
        <f aca="false">D9/10</f>
        <v>6</v>
      </c>
    </row>
    <row r="10" customFormat="false" ht="15" hidden="false" customHeight="false" outlineLevel="0" collapsed="false">
      <c r="C10" s="0" t="s">
        <v>729</v>
      </c>
      <c r="D10" s="0" t="n">
        <v>60</v>
      </c>
      <c r="E10" s="0" t="n">
        <f aca="false">D10/10</f>
        <v>6</v>
      </c>
    </row>
    <row r="11" customFormat="false" ht="15" hidden="false" customHeight="false" outlineLevel="0" collapsed="false">
      <c r="C11" s="0" t="s">
        <v>730</v>
      </c>
      <c r="D11" s="0" t="n">
        <v>70</v>
      </c>
      <c r="E11" s="0" t="n">
        <f aca="false">D11/10</f>
        <v>7</v>
      </c>
    </row>
    <row r="12" customFormat="false" ht="15" hidden="false" customHeight="false" outlineLevel="0" collapsed="false">
      <c r="C12" s="0" t="s">
        <v>731</v>
      </c>
      <c r="D12" s="0" t="n">
        <v>80</v>
      </c>
      <c r="E12" s="0" t="n">
        <f aca="false">D12/10</f>
        <v>8</v>
      </c>
    </row>
    <row r="13" customFormat="false" ht="15" hidden="false" customHeight="false" outlineLevel="0" collapsed="false">
      <c r="C13" s="0" t="s">
        <v>732</v>
      </c>
      <c r="D13" s="0" t="n">
        <v>90</v>
      </c>
      <c r="E13" s="0" t="n">
        <f aca="false">D13/10</f>
        <v>9</v>
      </c>
    </row>
    <row r="14" customFormat="false" ht="15" hidden="false" customHeight="false" outlineLevel="0" collapsed="false">
      <c r="C14" s="0" t="s">
        <v>733</v>
      </c>
      <c r="D14" s="0" t="n">
        <v>90</v>
      </c>
      <c r="E14" s="0" t="n">
        <f aca="false">D14/10</f>
        <v>9</v>
      </c>
    </row>
    <row r="15" customFormat="false" ht="15" hidden="false" customHeight="false" outlineLevel="0" collapsed="false">
      <c r="C15" s="0" t="s">
        <v>734</v>
      </c>
      <c r="D15" s="0" t="n">
        <v>90</v>
      </c>
      <c r="E15" s="0" t="n">
        <f aca="false">D15/10</f>
        <v>9</v>
      </c>
    </row>
    <row r="16" customFormat="false" ht="15" hidden="false" customHeight="false" outlineLevel="0" collapsed="false">
      <c r="C16" s="0" t="s">
        <v>735</v>
      </c>
      <c r="D16" s="0" t="n">
        <v>90</v>
      </c>
      <c r="E16" s="0" t="n">
        <f aca="false">D16/10</f>
        <v>9</v>
      </c>
    </row>
    <row r="17" customFormat="false" ht="15" hidden="false" customHeight="false" outlineLevel="0" collapsed="false">
      <c r="C17" s="0" t="s">
        <v>736</v>
      </c>
      <c r="D17" s="0" t="n">
        <v>100</v>
      </c>
      <c r="E17" s="0" t="n">
        <f aca="false">D17/10</f>
        <v>10</v>
      </c>
    </row>
    <row r="18" customFormat="false" ht="15" hidden="false" customHeight="false" outlineLevel="0" collapsed="false">
      <c r="C18" s="0" t="s">
        <v>737</v>
      </c>
      <c r="D18" s="0" t="n">
        <v>110</v>
      </c>
      <c r="E18" s="0" t="n">
        <f aca="false">D18/10</f>
        <v>11</v>
      </c>
    </row>
    <row r="19" customFormat="false" ht="15" hidden="false" customHeight="false" outlineLevel="0" collapsed="false">
      <c r="C19" s="0" t="s">
        <v>738</v>
      </c>
      <c r="D19" s="0" t="n">
        <v>120</v>
      </c>
      <c r="E19" s="0" t="n">
        <f aca="false">D19/10</f>
        <v>12</v>
      </c>
    </row>
    <row r="20" customFormat="false" ht="15" hidden="false" customHeight="false" outlineLevel="0" collapsed="false">
      <c r="C20" s="0" t="s">
        <v>739</v>
      </c>
      <c r="D20" s="0" t="n">
        <v>120</v>
      </c>
      <c r="E20" s="0" t="n">
        <f aca="false">D20/10</f>
        <v>12</v>
      </c>
    </row>
    <row r="21" customFormat="false" ht="15" hidden="false" customHeight="false" outlineLevel="0" collapsed="false">
      <c r="C21" s="0" t="s">
        <v>740</v>
      </c>
      <c r="D21" s="0" t="n">
        <v>120</v>
      </c>
      <c r="E21" s="0" t="n">
        <f aca="false">D21/10</f>
        <v>12</v>
      </c>
    </row>
    <row r="22" customFormat="false" ht="15" hidden="false" customHeight="false" outlineLevel="0" collapsed="false">
      <c r="D22" s="0" t="s">
        <v>741</v>
      </c>
    </row>
    <row r="23" customFormat="false" ht="15" hidden="false" customHeight="false" outlineLevel="0" collapsed="false">
      <c r="D23" s="0" t="s">
        <v>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M57:AC68 C15"/>
    </sheetView>
  </sheetViews>
  <sheetFormatPr defaultRowHeight="15"/>
  <cols>
    <col collapsed="false" hidden="false" max="1" min="1" style="18" width="31.4540816326531"/>
    <col collapsed="false" hidden="false" max="2" min="2" style="18" width="20.7908163265306"/>
    <col collapsed="false" hidden="false" max="3" min="3" style="18" width="8.23469387755102"/>
    <col collapsed="false" hidden="false" max="4" min="4" style="18" width="16.0663265306122"/>
    <col collapsed="false" hidden="false" max="9" min="5" style="18" width="8.63775510204082"/>
    <col collapsed="false" hidden="false" max="10" min="10" style="18" width="16.0663265306122"/>
    <col collapsed="false" hidden="false" max="1025" min="11" style="18" width="8.63775510204082"/>
  </cols>
  <sheetData>
    <row r="1" customFormat="false" ht="25.5" hidden="false" customHeight="true" outlineLevel="0" collapsed="false">
      <c r="A1" s="164" t="s">
        <v>575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576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 t="s">
        <v>577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 t="s">
        <v>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7" customFormat="false" ht="15" hidden="false" customHeight="false" outlineLevel="0" collapsed="false">
      <c r="A7" s="11" t="s">
        <v>111</v>
      </c>
      <c r="B7" s="12" t="s">
        <v>579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 t="s">
        <v>15</v>
      </c>
      <c r="B8" s="0" t="s">
        <v>580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65" customFormat="true" ht="15" hidden="false" customHeight="false" outlineLevel="0" collapsed="false">
      <c r="A9" s="13"/>
      <c r="B9" s="13"/>
      <c r="C9" s="13"/>
      <c r="D9" s="13"/>
      <c r="H9" s="13"/>
    </row>
    <row r="10" s="16" customFormat="true" ht="15" hidden="false" customHeight="false" outlineLevel="0" collapsed="false">
      <c r="A10" s="14" t="s">
        <v>113</v>
      </c>
      <c r="B10" s="15"/>
      <c r="C10" s="15"/>
      <c r="E10" s="15" t="s">
        <v>117</v>
      </c>
    </row>
    <row r="11" s="61" customFormat="true" ht="15" hidden="false" customHeight="false" outlineLevel="0" collapsed="false">
      <c r="B11" s="60" t="s">
        <v>114</v>
      </c>
      <c r="C11" s="1" t="s">
        <v>388</v>
      </c>
      <c r="E11" s="166"/>
    </row>
    <row r="12" s="61" customFormat="true" ht="15" hidden="false" customHeight="false" outlineLevel="0" collapsed="false">
      <c r="A12" s="61" t="s">
        <v>283</v>
      </c>
      <c r="B12" s="61" t="s">
        <v>581</v>
      </c>
      <c r="C12" s="167" t="n">
        <f aca="false">B39</f>
        <v>42.8837458259857</v>
      </c>
      <c r="D12" s="61" t="s">
        <v>285</v>
      </c>
      <c r="E12" s="166"/>
    </row>
    <row r="13" s="61" customFormat="true" ht="15" hidden="false" customHeight="false" outlineLevel="0" collapsed="false">
      <c r="A13" s="61" t="s">
        <v>286</v>
      </c>
      <c r="B13" s="61" t="s">
        <v>582</v>
      </c>
      <c r="C13" s="94" t="n">
        <v>0.01</v>
      </c>
      <c r="D13" s="61" t="s">
        <v>285</v>
      </c>
      <c r="E13" s="166"/>
    </row>
    <row r="14" s="61" customFormat="true" ht="15" hidden="false" customHeight="false" outlineLevel="0" collapsed="false">
      <c r="A14" s="61" t="s">
        <v>290</v>
      </c>
      <c r="B14" s="61" t="s">
        <v>583</v>
      </c>
      <c r="C14" s="94" t="n">
        <v>0.02</v>
      </c>
      <c r="D14" s="61" t="s">
        <v>285</v>
      </c>
      <c r="E14" s="166"/>
    </row>
    <row r="15" s="61" customFormat="true" ht="15" hidden="false" customHeight="false" outlineLevel="0" collapsed="false">
      <c r="A15" s="61" t="s">
        <v>396</v>
      </c>
      <c r="B15" s="61" t="s">
        <v>584</v>
      </c>
      <c r="C15" s="168" t="n">
        <v>0.03</v>
      </c>
      <c r="D15" s="169" t="s">
        <v>294</v>
      </c>
      <c r="E15" s="0"/>
    </row>
    <row r="16" s="61" customFormat="true" ht="15" hidden="false" customHeight="false" outlineLevel="0" collapsed="false">
      <c r="A16" s="166" t="s">
        <v>585</v>
      </c>
      <c r="B16" s="61" t="s">
        <v>586</v>
      </c>
      <c r="C16" s="170" t="n">
        <f aca="false">B84</f>
        <v>0.747972310918356</v>
      </c>
      <c r="D16" s="169" t="s">
        <v>587</v>
      </c>
      <c r="E16" s="61" t="s">
        <v>588</v>
      </c>
    </row>
    <row r="17" s="61" customFormat="true" ht="15" hidden="false" customHeight="false" outlineLevel="0" collapsed="false">
      <c r="A17" s="56" t="s">
        <v>589</v>
      </c>
      <c r="B17" s="56" t="s">
        <v>590</v>
      </c>
      <c r="C17" s="171" t="n">
        <f aca="false">B89</f>
        <v>0.373986155459178</v>
      </c>
      <c r="D17" s="56"/>
      <c r="E17" s="172" t="s">
        <v>296</v>
      </c>
    </row>
    <row r="18" customFormat="false" ht="15" hidden="false" customHeight="false" outlineLevel="0" collapsed="false">
      <c r="A18" s="166" t="s">
        <v>591</v>
      </c>
      <c r="B18" s="166" t="s">
        <v>592</v>
      </c>
      <c r="C18" s="173" t="n">
        <f aca="false">B94</f>
        <v>11.0640064231043</v>
      </c>
      <c r="D18" s="0"/>
      <c r="E18" s="174" t="s">
        <v>296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0" t="s">
        <v>295</v>
      </c>
      <c r="B19" s="0"/>
      <c r="C19" s="132" t="n">
        <f aca="false">D50</f>
        <v>0.275820951692903</v>
      </c>
      <c r="D19" s="0"/>
      <c r="E19" s="174" t="s">
        <v>296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 t="s">
        <v>297</v>
      </c>
      <c r="B20" s="0"/>
      <c r="C20" s="132" t="n">
        <f aca="false">D55</f>
        <v>0.661970284062968</v>
      </c>
      <c r="D20" s="0"/>
      <c r="E20" s="174" t="s">
        <v>296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0" t="s">
        <v>298</v>
      </c>
      <c r="B21" s="0"/>
      <c r="C21" s="132" t="n">
        <f aca="false">D56</f>
        <v>0.483497903555795</v>
      </c>
      <c r="D21" s="0"/>
      <c r="E21" s="174" t="s">
        <v>296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 t="s">
        <v>299</v>
      </c>
      <c r="B22" s="0"/>
      <c r="C22" s="132" t="n">
        <f aca="false">D57+D58</f>
        <v>0.337475046777199</v>
      </c>
      <c r="D22" s="0"/>
      <c r="E22" s="174" t="s">
        <v>296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60" customFormat="true" ht="15" hidden="false" customHeight="false" outlineLevel="0" collapsed="false">
      <c r="A23" s="158"/>
      <c r="B23" s="159"/>
      <c r="C23" s="159"/>
      <c r="E23" s="159"/>
    </row>
    <row r="24" s="16" customFormat="true" ht="15" hidden="false" customHeight="false" outlineLevel="0" collapsed="false">
      <c r="A24" s="14" t="s">
        <v>300</v>
      </c>
      <c r="B24" s="15"/>
      <c r="C24" s="15"/>
      <c r="E24" s="15" t="s">
        <v>117</v>
      </c>
    </row>
    <row r="25" s="61" customFormat="true" ht="15" hidden="false" customHeight="false" outlineLevel="0" collapsed="false">
      <c r="A25" s="60"/>
      <c r="B25" s="169" t="n">
        <v>0.907185</v>
      </c>
      <c r="C25" s="169" t="s">
        <v>593</v>
      </c>
      <c r="E25" s="166"/>
    </row>
    <row r="26" s="61" customFormat="true" ht="15" hidden="false" customHeight="false" outlineLevel="0" collapsed="false">
      <c r="A26" s="60" t="s">
        <v>594</v>
      </c>
      <c r="B26" s="175" t="n">
        <v>884000000</v>
      </c>
      <c r="C26" s="61" t="s">
        <v>595</v>
      </c>
      <c r="E26" s="166"/>
    </row>
    <row r="27" s="61" customFormat="true" ht="15" hidden="false" customHeight="false" outlineLevel="0" collapsed="false">
      <c r="A27" s="60" t="s">
        <v>596</v>
      </c>
      <c r="B27" s="176" t="n">
        <f aca="false">B26*0.000453592</f>
        <v>400975.328</v>
      </c>
      <c r="C27" s="61" t="s">
        <v>597</v>
      </c>
      <c r="E27" s="166"/>
    </row>
    <row r="28" s="61" customFormat="true" ht="15" hidden="false" customHeight="false" outlineLevel="0" collapsed="false">
      <c r="A28" s="60"/>
      <c r="B28" s="169"/>
      <c r="C28" s="169"/>
      <c r="E28" s="166"/>
    </row>
    <row r="29" s="61" customFormat="true" ht="15" hidden="false" customHeight="false" outlineLevel="0" collapsed="false">
      <c r="A29" s="60" t="s">
        <v>598</v>
      </c>
      <c r="B29" s="166" t="n">
        <v>3.7854</v>
      </c>
      <c r="C29" s="166" t="s">
        <v>599</v>
      </c>
      <c r="E29" s="166"/>
    </row>
    <row r="30" s="61" customFormat="true" ht="15" hidden="false" customHeight="false" outlineLevel="0" collapsed="false">
      <c r="A30" s="60" t="s">
        <v>600</v>
      </c>
      <c r="B30" s="18" t="n">
        <v>122</v>
      </c>
      <c r="C30" s="18" t="s">
        <v>601</v>
      </c>
      <c r="E30" s="166"/>
    </row>
    <row r="31" s="61" customFormat="true" ht="15" hidden="false" customHeight="false" outlineLevel="0" collapsed="false">
      <c r="A31" s="60" t="s">
        <v>602</v>
      </c>
      <c r="B31" s="166" t="n">
        <v>25</v>
      </c>
      <c r="C31" s="18" t="s">
        <v>601</v>
      </c>
      <c r="E31" s="166"/>
    </row>
    <row r="32" s="61" customFormat="true" ht="15" hidden="false" customHeight="false" outlineLevel="0" collapsed="false">
      <c r="A32" s="60" t="s">
        <v>600</v>
      </c>
      <c r="B32" s="177" t="n">
        <f aca="false">B30/B25*B29</f>
        <v>509.067940938177</v>
      </c>
      <c r="C32" s="18" t="s">
        <v>603</v>
      </c>
      <c r="E32" s="166"/>
    </row>
    <row r="33" s="61" customFormat="true" ht="15" hidden="false" customHeight="false" outlineLevel="0" collapsed="false">
      <c r="A33" s="60" t="s">
        <v>602</v>
      </c>
      <c r="B33" s="178" t="n">
        <f aca="false">B31/B25*B29</f>
        <v>104.317201011922</v>
      </c>
      <c r="C33" s="18" t="s">
        <v>603</v>
      </c>
      <c r="E33" s="166"/>
    </row>
    <row r="34" s="61" customFormat="true" ht="15" hidden="false" customHeight="false" outlineLevel="0" collapsed="false">
      <c r="A34" s="70" t="s">
        <v>604</v>
      </c>
      <c r="B34" s="169" t="n">
        <v>0.0386</v>
      </c>
      <c r="C34" s="17" t="s">
        <v>605</v>
      </c>
      <c r="E34" s="166"/>
    </row>
    <row r="35" s="61" customFormat="true" ht="15" hidden="false" customHeight="false" outlineLevel="0" collapsed="false">
      <c r="A35" s="0"/>
      <c r="B35" s="149" t="n">
        <f aca="false">B34*B32</f>
        <v>19.6500225202136</v>
      </c>
      <c r="C35" s="17" t="s">
        <v>404</v>
      </c>
      <c r="E35" s="166"/>
    </row>
    <row r="36" s="61" customFormat="true" ht="15" hidden="false" customHeight="false" outlineLevel="0" collapsed="false">
      <c r="A36" s="70" t="s">
        <v>606</v>
      </c>
      <c r="B36" s="166" t="n">
        <v>0.03517</v>
      </c>
      <c r="C36" s="166" t="s">
        <v>605</v>
      </c>
      <c r="E36" s="166"/>
    </row>
    <row r="37" s="61" customFormat="true" ht="15" hidden="false" customHeight="false" outlineLevel="0" collapsed="false">
      <c r="A37" s="60" t="s">
        <v>607</v>
      </c>
      <c r="B37" s="179" t="n">
        <f aca="false">B33*B36</f>
        <v>3.66883595958928</v>
      </c>
      <c r="C37" s="169" t="s">
        <v>608</v>
      </c>
      <c r="E37" s="166"/>
    </row>
    <row r="38" customFormat="false" ht="15" hidden="false" customHeight="false" outlineLevel="0" collapsed="false">
      <c r="A38" s="60" t="s">
        <v>609</v>
      </c>
      <c r="B38" s="149" t="n">
        <f aca="false">B37+B35</f>
        <v>23.3188584798029</v>
      </c>
      <c r="C38" s="61" t="s">
        <v>404</v>
      </c>
      <c r="D38" s="61"/>
      <c r="E38" s="180"/>
      <c r="F38" s="18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5" hidden="false" customHeight="false" outlineLevel="0" collapsed="false">
      <c r="A39" s="60" t="s">
        <v>609</v>
      </c>
      <c r="B39" s="149" t="n">
        <f aca="false">1/B38*1000</f>
        <v>42.8837458259857</v>
      </c>
      <c r="C39" s="169" t="s">
        <v>610</v>
      </c>
      <c r="D39" s="0"/>
      <c r="E39" s="180"/>
      <c r="F39" s="18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customFormat="false" ht="15" hidden="false" customHeight="false" outlineLevel="0" collapsed="false">
      <c r="C40" s="0"/>
      <c r="D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customFormat="false" ht="15" hidden="false" customHeight="false" outlineLevel="0" collapsed="false">
      <c r="A41" s="18" t="s">
        <v>611</v>
      </c>
      <c r="B41" s="181" t="n">
        <v>54000000</v>
      </c>
      <c r="C41" s="169" t="s">
        <v>612</v>
      </c>
      <c r="D41" s="182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customFormat="false" ht="15" hidden="false" customHeight="false" outlineLevel="0" collapsed="false">
      <c r="A42" s="18" t="s">
        <v>613</v>
      </c>
      <c r="B42" s="181" t="n">
        <v>11000000</v>
      </c>
      <c r="C42" s="169" t="s">
        <v>612</v>
      </c>
      <c r="D42" s="182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5" hidden="false" customHeight="false" outlineLevel="0" collapsed="false">
      <c r="A43" s="18" t="s">
        <v>611</v>
      </c>
      <c r="B43" s="181" t="n">
        <f aca="false">B41*B29*B34</f>
        <v>7890287.76</v>
      </c>
      <c r="C43" s="169" t="s">
        <v>614</v>
      </c>
      <c r="D43" s="182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customFormat="false" ht="15" hidden="false" customHeight="false" outlineLevel="0" collapsed="false">
      <c r="A44" s="18" t="s">
        <v>613</v>
      </c>
      <c r="B44" s="183" t="n">
        <f aca="false">B42*B29*B36</f>
        <v>1464457.698</v>
      </c>
      <c r="C44" s="169" t="s">
        <v>614</v>
      </c>
      <c r="D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customFormat="false" ht="15" hidden="false" customHeight="false" outlineLevel="0" collapsed="false">
      <c r="A45" s="18" t="s">
        <v>615</v>
      </c>
      <c r="B45" s="183" t="n">
        <f aca="false">B44+B43</f>
        <v>9354745.458</v>
      </c>
      <c r="C45" s="169" t="s">
        <v>614</v>
      </c>
      <c r="D45" s="184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customFormat="false" ht="15" hidden="false" customHeight="false" outlineLevel="0" collapsed="false">
      <c r="A46" s="0"/>
      <c r="B46" s="0"/>
      <c r="C46" s="0"/>
      <c r="D46" s="0"/>
      <c r="E46" s="185" t="n">
        <v>3.29427384524826</v>
      </c>
      <c r="F46" s="18" t="s">
        <v>616</v>
      </c>
      <c r="G46" s="0"/>
      <c r="H46" s="0"/>
      <c r="I46" s="0"/>
      <c r="J46" s="0"/>
      <c r="K46" s="0"/>
      <c r="L46" s="0"/>
      <c r="M46" s="0"/>
      <c r="N46" s="0"/>
      <c r="O46" s="0"/>
      <c r="P46" s="0"/>
    </row>
    <row r="47" customFormat="false" ht="15" hidden="false" customHeight="false" outlineLevel="0" collapsed="false">
      <c r="A47" s="14" t="s">
        <v>617</v>
      </c>
      <c r="B47" s="186" t="s">
        <v>618</v>
      </c>
      <c r="C47" s="186" t="s">
        <v>619</v>
      </c>
      <c r="D47" s="187" t="s">
        <v>620</v>
      </c>
      <c r="E47" s="188" t="s">
        <v>621</v>
      </c>
      <c r="F47" s="186" t="s">
        <v>622</v>
      </c>
      <c r="G47" s="189"/>
      <c r="H47" s="189"/>
      <c r="I47" s="189"/>
      <c r="J47" s="189"/>
      <c r="K47" s="189"/>
      <c r="L47" s="189"/>
      <c r="M47" s="189"/>
      <c r="N47" s="189"/>
      <c r="O47" s="189"/>
      <c r="P47" s="189"/>
    </row>
    <row r="48" customFormat="false" ht="15" hidden="false" customHeight="false" outlineLevel="0" collapsed="false">
      <c r="A48" s="18" t="s">
        <v>623</v>
      </c>
      <c r="B48" s="115" t="n">
        <v>190000000</v>
      </c>
      <c r="C48" s="190" t="n">
        <v>20.3105472888646</v>
      </c>
      <c r="D48" s="94" t="n">
        <f aca="false">C48/$E$46</f>
        <v>6.1654095084296</v>
      </c>
      <c r="E48" s="191" t="n">
        <f aca="false">TRUE()</f>
        <v>1</v>
      </c>
      <c r="F48" s="18" t="s">
        <v>624</v>
      </c>
      <c r="G48" s="0"/>
      <c r="H48" s="0"/>
      <c r="I48" s="0"/>
      <c r="J48" s="192"/>
      <c r="K48" s="193"/>
    </row>
    <row r="49" customFormat="false" ht="15" hidden="false" customHeight="false" outlineLevel="0" collapsed="false">
      <c r="A49" s="18" t="s">
        <v>625</v>
      </c>
      <c r="B49" s="115" t="n">
        <v>6600000</v>
      </c>
      <c r="C49" s="190" t="n">
        <v>0.705524274244769</v>
      </c>
      <c r="D49" s="94" t="n">
        <f aca="false">C49/$E$46</f>
        <v>0.214166856608607</v>
      </c>
      <c r="E49" s="191" t="n">
        <f aca="false">TRUE()</f>
        <v>1</v>
      </c>
      <c r="F49" s="18" t="s">
        <v>626</v>
      </c>
      <c r="G49" s="0"/>
      <c r="H49" s="0"/>
      <c r="I49" s="0"/>
      <c r="J49" s="192"/>
      <c r="K49" s="193"/>
    </row>
    <row r="50" customFormat="false" ht="15" hidden="false" customHeight="false" outlineLevel="0" collapsed="false">
      <c r="A50" s="18" t="s">
        <v>627</v>
      </c>
      <c r="B50" s="115" t="n">
        <v>8500000</v>
      </c>
      <c r="C50" s="190" t="n">
        <v>0.908629747133415</v>
      </c>
      <c r="D50" s="94" t="n">
        <f aca="false">C50/$E$46</f>
        <v>0.275820951692903</v>
      </c>
      <c r="E50" s="191" t="n">
        <f aca="false">FALSE()</f>
        <v>0</v>
      </c>
      <c r="F50" s="0"/>
      <c r="G50" s="0"/>
      <c r="H50" s="0"/>
      <c r="I50" s="0"/>
      <c r="J50" s="192"/>
      <c r="K50" s="193"/>
    </row>
    <row r="51" customFormat="false" ht="15" hidden="false" customHeight="false" outlineLevel="0" collapsed="false">
      <c r="A51" s="18" t="s">
        <v>628</v>
      </c>
      <c r="B51" s="115" t="n">
        <v>0</v>
      </c>
      <c r="C51" s="190" t="n">
        <v>0</v>
      </c>
      <c r="D51" s="94" t="n">
        <f aca="false">C51/$E$46</f>
        <v>0</v>
      </c>
      <c r="E51" s="191" t="n">
        <f aca="false">FALSE()</f>
        <v>0</v>
      </c>
      <c r="F51" s="0"/>
      <c r="G51" s="0"/>
      <c r="H51" s="0"/>
      <c r="I51" s="0"/>
      <c r="J51" s="192"/>
      <c r="K51" s="193"/>
    </row>
    <row r="52" customFormat="false" ht="15" hidden="false" customHeight="false" outlineLevel="0" collapsed="false">
      <c r="A52" s="18" t="s">
        <v>629</v>
      </c>
      <c r="B52" s="115" t="n">
        <v>3000000</v>
      </c>
      <c r="C52" s="190" t="n">
        <v>0.320692851929441</v>
      </c>
      <c r="D52" s="94" t="n">
        <f aca="false">C52/$E$46</f>
        <v>0.0973485711857306</v>
      </c>
      <c r="E52" s="191" t="n">
        <f aca="false">TRUE()</f>
        <v>1</v>
      </c>
      <c r="F52" s="0"/>
      <c r="G52" s="0"/>
      <c r="H52" s="0"/>
      <c r="I52" s="0"/>
      <c r="J52" s="192"/>
      <c r="K52" s="193"/>
    </row>
    <row r="53" customFormat="false" ht="15" hidden="false" customHeight="false" outlineLevel="0" collapsed="false">
      <c r="A53" s="18" t="s">
        <v>630</v>
      </c>
      <c r="B53" s="115" t="n">
        <v>-36300000</v>
      </c>
      <c r="C53" s="190" t="n">
        <v>-3.88038350834623</v>
      </c>
      <c r="D53" s="94" t="n">
        <f aca="false">C53/$E$46</f>
        <v>-1.17791771134734</v>
      </c>
      <c r="E53" s="191" t="n">
        <f aca="false">TRUE()</f>
        <v>1</v>
      </c>
      <c r="F53" s="18" t="s">
        <v>631</v>
      </c>
      <c r="G53" s="0"/>
      <c r="H53" s="0"/>
      <c r="I53" s="0"/>
      <c r="J53" s="192"/>
      <c r="K53" s="193"/>
    </row>
    <row r="54" customFormat="false" ht="15" hidden="false" customHeight="false" outlineLevel="0" collapsed="false">
      <c r="A54" s="18" t="s">
        <v>632</v>
      </c>
      <c r="B54" s="115" t="n">
        <v>0</v>
      </c>
      <c r="C54" s="190" t="n">
        <v>0</v>
      </c>
      <c r="D54" s="94" t="n">
        <f aca="false">C54/$E$46</f>
        <v>0</v>
      </c>
      <c r="E54" s="191" t="n">
        <f aca="false">TRUE()</f>
        <v>1</v>
      </c>
      <c r="F54" s="18" t="s">
        <v>633</v>
      </c>
      <c r="G54" s="0"/>
      <c r="H54" s="0"/>
      <c r="I54" s="0"/>
      <c r="J54" s="192"/>
      <c r="K54" s="193"/>
    </row>
    <row r="55" customFormat="false" ht="15" hidden="false" customHeight="false" outlineLevel="0" collapsed="false">
      <c r="A55" s="18" t="s">
        <v>192</v>
      </c>
      <c r="B55" s="115" t="n">
        <v>20400000</v>
      </c>
      <c r="C55" s="190" t="n">
        <v>2.1807113931202</v>
      </c>
      <c r="D55" s="94" t="n">
        <f aca="false">C55/$E$46</f>
        <v>0.661970284062968</v>
      </c>
      <c r="E55" s="194" t="n">
        <f aca="false">FALSE()</f>
        <v>0</v>
      </c>
      <c r="F55" s="0"/>
      <c r="G55" s="0"/>
      <c r="H55" s="0"/>
      <c r="I55" s="0"/>
      <c r="J55" s="192"/>
      <c r="K55" s="193"/>
    </row>
    <row r="56" customFormat="false" ht="15" hidden="false" customHeight="false" outlineLevel="0" collapsed="false">
      <c r="A56" s="18" t="s">
        <v>193</v>
      </c>
      <c r="B56" s="115" t="n">
        <v>14900000</v>
      </c>
      <c r="C56" s="190" t="n">
        <v>1.59277449791622</v>
      </c>
      <c r="D56" s="94" t="n">
        <f aca="false">C56/$E$46</f>
        <v>0.483497903555795</v>
      </c>
      <c r="E56" s="191" t="n">
        <f aca="false">FALSE()</f>
        <v>0</v>
      </c>
      <c r="F56" s="0"/>
      <c r="G56" s="0"/>
      <c r="H56" s="0"/>
      <c r="I56" s="0"/>
      <c r="J56" s="192"/>
      <c r="K56" s="193"/>
    </row>
    <row r="57" customFormat="false" ht="15" hidden="false" customHeight="false" outlineLevel="0" collapsed="false">
      <c r="A57" s="18" t="s">
        <v>634</v>
      </c>
      <c r="B57" s="115" t="n">
        <v>1800000</v>
      </c>
      <c r="C57" s="190" t="n">
        <v>0.192415711157664</v>
      </c>
      <c r="D57" s="94" t="n">
        <f aca="false">C57/$E$46</f>
        <v>0.0584091427114383</v>
      </c>
      <c r="E57" s="191" t="n">
        <f aca="false">FALSE()</f>
        <v>0</v>
      </c>
      <c r="F57" s="0"/>
      <c r="G57" s="0"/>
      <c r="H57" s="0"/>
      <c r="I57" s="0"/>
      <c r="J57" s="192"/>
      <c r="K57" s="193"/>
    </row>
    <row r="58" customFormat="false" ht="15" hidden="false" customHeight="false" outlineLevel="0" collapsed="false">
      <c r="A58" s="189" t="s">
        <v>635</v>
      </c>
      <c r="B58" s="151" t="n">
        <v>8600000</v>
      </c>
      <c r="C58" s="195" t="n">
        <v>0.919319508864396</v>
      </c>
      <c r="D58" s="196" t="n">
        <f aca="false">C58/$E$46</f>
        <v>0.279065904065761</v>
      </c>
      <c r="E58" s="191" t="n">
        <f aca="false">FALSE()</f>
        <v>0</v>
      </c>
      <c r="F58" s="0"/>
      <c r="G58" s="0"/>
      <c r="H58" s="0"/>
      <c r="I58" s="0"/>
      <c r="J58" s="192"/>
      <c r="K58" s="193"/>
    </row>
    <row r="59" customFormat="false" ht="15" hidden="false" customHeight="false" outlineLevel="0" collapsed="false">
      <c r="A59" s="18" t="s">
        <v>197</v>
      </c>
      <c r="B59" s="197" t="n">
        <f aca="false">SUM(B48:B58)</f>
        <v>217500000</v>
      </c>
      <c r="C59" s="197" t="n">
        <f aca="false">SUM(C48:C58)</f>
        <v>23.2502317648844</v>
      </c>
      <c r="D59" s="94" t="n">
        <f aca="false">C59/$E$46</f>
        <v>7.05777141096546</v>
      </c>
      <c r="E59" s="0"/>
      <c r="F59" s="0"/>
      <c r="G59" s="0"/>
      <c r="H59" s="0"/>
      <c r="I59" s="0"/>
      <c r="J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5" hidden="false" customHeight="false" outlineLevel="0" collapsed="false">
      <c r="A61" s="16"/>
      <c r="B61" s="186" t="s">
        <v>618</v>
      </c>
      <c r="C61" s="186" t="s">
        <v>619</v>
      </c>
      <c r="D61" s="187" t="s">
        <v>620</v>
      </c>
      <c r="E61" s="0"/>
      <c r="F61" s="0"/>
      <c r="G61" s="0"/>
      <c r="H61" s="0"/>
      <c r="I61" s="0"/>
      <c r="J61" s="0"/>
    </row>
    <row r="62" customFormat="false" ht="15" hidden="false" customHeight="false" outlineLevel="0" collapsed="false">
      <c r="A62" s="18" t="s">
        <v>214</v>
      </c>
      <c r="B62" s="197" t="n">
        <f aca="false">B59-SUMIFS(B48:B58,$E$48:$E$58,1)</f>
        <v>54200000</v>
      </c>
      <c r="C62" s="197" t="n">
        <f aca="false">C59-SUMIFS(C48:C58,$E$48:$E$58,1)</f>
        <v>5.79385085819189</v>
      </c>
      <c r="D62" s="197" t="n">
        <f aca="false">D59-SUMIFS(D48:D58,$E$48:$E$58,1)</f>
        <v>1.75876418608886</v>
      </c>
      <c r="E62" s="198"/>
      <c r="F62" s="0"/>
      <c r="G62" s="0"/>
      <c r="H62" s="0"/>
      <c r="I62" s="0"/>
      <c r="J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5" hidden="false" customHeight="false" outlineLevel="0" collapsed="false">
      <c r="A64" s="14" t="s">
        <v>636</v>
      </c>
      <c r="B64" s="16"/>
      <c r="C64" s="189"/>
      <c r="D64" s="189"/>
      <c r="E64" s="189"/>
      <c r="F64" s="16"/>
      <c r="G64" s="189"/>
      <c r="H64" s="189"/>
      <c r="I64" s="189"/>
      <c r="J64" s="189"/>
    </row>
    <row r="65" customFormat="false" ht="15" hidden="false" customHeight="false" outlineLevel="0" collapsed="false">
      <c r="A65" s="0" t="s">
        <v>637</v>
      </c>
      <c r="B65" s="115" t="n">
        <v>6640000</v>
      </c>
      <c r="C65" s="0"/>
      <c r="D65" s="18" t="s">
        <v>638</v>
      </c>
      <c r="E65" s="0"/>
      <c r="F65" s="0"/>
      <c r="G65" s="0"/>
      <c r="H65" s="0"/>
      <c r="I65" s="0"/>
      <c r="J65" s="0"/>
    </row>
    <row r="66" customFormat="false" ht="15" hidden="false" customHeight="false" outlineLevel="0" collapsed="false">
      <c r="A66" s="0" t="s">
        <v>639</v>
      </c>
      <c r="B66" s="18" t="n">
        <f aca="false">0.0051</f>
        <v>0.0051</v>
      </c>
      <c r="C66" s="18" t="s">
        <v>640</v>
      </c>
      <c r="D66" s="18" t="s">
        <v>638</v>
      </c>
      <c r="E66" s="0"/>
      <c r="F66" s="0"/>
      <c r="G66" s="0"/>
      <c r="H66" s="0"/>
      <c r="I66" s="0"/>
      <c r="J66" s="0"/>
    </row>
    <row r="67" customFormat="false" ht="15" hidden="false" customHeight="false" outlineLevel="0" collapsed="false">
      <c r="A67" s="0" t="s">
        <v>641</v>
      </c>
      <c r="B67" s="18" t="n">
        <v>947.8171</v>
      </c>
      <c r="C67" s="18" t="s">
        <v>642</v>
      </c>
      <c r="D67" s="0"/>
      <c r="E67" s="0"/>
      <c r="F67" s="0"/>
      <c r="G67" s="0"/>
      <c r="H67" s="0"/>
      <c r="I67" s="0"/>
      <c r="J67" s="0"/>
    </row>
    <row r="68" customFormat="false" ht="15" hidden="false" customHeight="false" outlineLevel="0" collapsed="false">
      <c r="A68" s="0" t="s">
        <v>639</v>
      </c>
      <c r="B68" s="185" t="n">
        <f aca="false">B67*B66</f>
        <v>4.83386721</v>
      </c>
      <c r="C68" s="18" t="s">
        <v>643</v>
      </c>
      <c r="D68" s="0"/>
      <c r="E68" s="0"/>
      <c r="F68" s="0"/>
      <c r="G68" s="0"/>
      <c r="H68" s="0"/>
      <c r="I68" s="0"/>
      <c r="J68" s="0"/>
    </row>
    <row r="69" customFormat="false" ht="15" hidden="false" customHeight="false" outlineLevel="0" collapsed="false">
      <c r="A69" s="0" t="s">
        <v>644</v>
      </c>
      <c r="B69" s="199" t="n">
        <f aca="false">B65/B68</f>
        <v>1373641.37481137</v>
      </c>
      <c r="C69" s="18" t="s">
        <v>614</v>
      </c>
      <c r="D69" s="0"/>
      <c r="E69" s="0"/>
      <c r="F69" s="0"/>
      <c r="G69" s="0"/>
      <c r="H69" s="0"/>
      <c r="I69" s="0"/>
      <c r="J69" s="0"/>
    </row>
    <row r="70" customFormat="false" ht="15" hidden="false" customHeight="false" outlineLevel="0" collapsed="false">
      <c r="A70" s="0" t="s">
        <v>645</v>
      </c>
      <c r="B70" s="200" t="n">
        <f aca="false">B69/B45</f>
        <v>0.146838990005512</v>
      </c>
      <c r="D70" s="0"/>
      <c r="E70" s="0"/>
      <c r="F70" s="0"/>
      <c r="G70" s="0"/>
      <c r="H70" s="0"/>
      <c r="I70" s="0"/>
      <c r="J70" s="0"/>
    </row>
    <row r="71" customFormat="false" ht="15" hidden="false" customHeight="false" outlineLevel="0" collapsed="false">
      <c r="A71" s="0"/>
      <c r="B71" s="200"/>
      <c r="D71" s="0"/>
      <c r="E71" s="0"/>
      <c r="F71" s="0"/>
      <c r="G71" s="0"/>
      <c r="H71" s="0"/>
      <c r="I71" s="0"/>
      <c r="J71" s="0"/>
    </row>
    <row r="72" customFormat="false" ht="15" hidden="false" customHeight="false" outlineLevel="0" collapsed="false">
      <c r="A72" s="14" t="s">
        <v>646</v>
      </c>
      <c r="B72" s="16"/>
      <c r="C72" s="189"/>
      <c r="D72" s="189"/>
      <c r="E72" s="189"/>
      <c r="F72" s="16"/>
      <c r="G72" s="189"/>
      <c r="H72" s="189"/>
      <c r="I72" s="189"/>
      <c r="J72" s="189"/>
    </row>
    <row r="73" customFormat="false" ht="15" hidden="false" customHeight="false" outlineLevel="0" collapsed="false">
      <c r="A73" s="0" t="s">
        <v>637</v>
      </c>
      <c r="B73" s="115" t="n">
        <v>2970000</v>
      </c>
      <c r="C73" s="0"/>
      <c r="D73" s="18" t="s">
        <v>638</v>
      </c>
      <c r="E73" s="0"/>
      <c r="F73" s="0"/>
      <c r="G73" s="0"/>
      <c r="H73" s="0"/>
      <c r="I73" s="0"/>
      <c r="J73" s="0"/>
    </row>
    <row r="74" customFormat="false" ht="15" hidden="false" customHeight="false" outlineLevel="0" collapsed="false">
      <c r="A74" s="0" t="s">
        <v>639</v>
      </c>
      <c r="B74" s="200" t="n">
        <v>0.0689</v>
      </c>
      <c r="C74" s="18" t="s">
        <v>647</v>
      </c>
      <c r="D74" s="18" t="s">
        <v>638</v>
      </c>
      <c r="E74" s="0"/>
      <c r="F74" s="0"/>
      <c r="G74" s="0"/>
      <c r="H74" s="0"/>
      <c r="I74" s="0"/>
      <c r="J74" s="0"/>
    </row>
    <row r="75" customFormat="false" ht="15" hidden="false" customHeight="false" outlineLevel="0" collapsed="false">
      <c r="A75" s="0" t="s">
        <v>641</v>
      </c>
      <c r="B75" s="18" t="n">
        <v>0.0036</v>
      </c>
      <c r="C75" s="18" t="s">
        <v>246</v>
      </c>
      <c r="D75" s="0"/>
      <c r="E75" s="0"/>
      <c r="F75" s="0"/>
      <c r="G75" s="0"/>
      <c r="H75" s="0"/>
      <c r="I75" s="0"/>
      <c r="J75" s="0"/>
    </row>
    <row r="76" customFormat="false" ht="15" hidden="false" customHeight="false" outlineLevel="0" collapsed="false">
      <c r="A76" s="0" t="s">
        <v>639</v>
      </c>
      <c r="B76" s="200" t="n">
        <f aca="false">B74/B75</f>
        <v>19.1388888888889</v>
      </c>
      <c r="C76" s="18" t="s">
        <v>643</v>
      </c>
      <c r="D76" s="0"/>
      <c r="E76" s="0"/>
      <c r="F76" s="0"/>
      <c r="G76" s="0"/>
      <c r="H76" s="0"/>
      <c r="I76" s="0"/>
      <c r="J76" s="0"/>
    </row>
    <row r="77" customFormat="false" ht="15" hidden="false" customHeight="false" outlineLevel="0" collapsed="false">
      <c r="A77" s="0" t="s">
        <v>648</v>
      </c>
      <c r="B77" s="199" t="n">
        <f aca="false">B73/B76</f>
        <v>155181.422351234</v>
      </c>
      <c r="C77" s="18" t="s">
        <v>614</v>
      </c>
      <c r="D77" s="0"/>
      <c r="E77" s="0"/>
      <c r="F77" s="0"/>
      <c r="G77" s="0"/>
      <c r="H77" s="0"/>
      <c r="I77" s="0"/>
      <c r="J77" s="0"/>
    </row>
    <row r="78" customFormat="false" ht="15" hidden="false" customHeight="false" outlineLevel="0" collapsed="false">
      <c r="A78" s="0" t="s">
        <v>645</v>
      </c>
      <c r="B78" s="200" t="n">
        <f aca="false">B77/B45</f>
        <v>0.0165885243000947</v>
      </c>
      <c r="D78" s="0"/>
      <c r="E78" s="0"/>
      <c r="F78" s="0"/>
      <c r="G78" s="0"/>
      <c r="H78" s="0"/>
      <c r="I78" s="0"/>
      <c r="J78" s="0"/>
    </row>
    <row r="79" customFormat="false" ht="15" hidden="false" customHeight="false" outlineLevel="0" collapsed="false">
      <c r="A79" s="0"/>
      <c r="B79" s="0"/>
      <c r="C79" s="185"/>
      <c r="D79" s="0"/>
      <c r="E79" s="0"/>
      <c r="F79" s="0"/>
      <c r="G79" s="0"/>
      <c r="H79" s="0"/>
      <c r="I79" s="0"/>
      <c r="J79" s="0"/>
    </row>
    <row r="80" customFormat="false" ht="15" hidden="false" customHeight="false" outlineLevel="0" collapsed="false">
      <c r="A80" s="14" t="s">
        <v>649</v>
      </c>
      <c r="B80" s="189"/>
      <c r="C80" s="16"/>
      <c r="D80" s="189"/>
      <c r="E80" s="189"/>
      <c r="F80" s="16"/>
      <c r="G80" s="189"/>
      <c r="H80" s="189"/>
      <c r="I80" s="189"/>
      <c r="J80" s="189"/>
    </row>
    <row r="81" customFormat="false" ht="15" hidden="false" customHeight="false" outlineLevel="0" collapsed="false">
      <c r="A81" s="201" t="s">
        <v>650</v>
      </c>
      <c r="B81" s="202" t="n">
        <v>0.9</v>
      </c>
      <c r="C81" s="203" t="s">
        <v>651</v>
      </c>
      <c r="D81" s="0"/>
    </row>
    <row r="82" customFormat="false" ht="15" hidden="false" customHeight="false" outlineLevel="0" collapsed="false">
      <c r="A82" s="18" t="s">
        <v>652</v>
      </c>
      <c r="B82" s="204" t="n">
        <f aca="false">Algae_N_fertilizer</f>
        <v>0.0193798449612403</v>
      </c>
      <c r="C82" s="18" t="s">
        <v>653</v>
      </c>
      <c r="D82" s="0"/>
    </row>
    <row r="83" customFormat="false" ht="15" hidden="false" customHeight="false" outlineLevel="0" collapsed="false">
      <c r="A83" s="18" t="s">
        <v>654</v>
      </c>
      <c r="B83" s="204" t="n">
        <f aca="false">B82*B81</f>
        <v>0.0174418604651163</v>
      </c>
      <c r="C83" s="18" t="s">
        <v>655</v>
      </c>
      <c r="D83" s="0"/>
    </row>
    <row r="84" customFormat="false" ht="15" hidden="false" customHeight="false" outlineLevel="0" collapsed="false">
      <c r="A84" s="18" t="s">
        <v>656</v>
      </c>
      <c r="B84" s="204" t="n">
        <f aca="false">B83*B39</f>
        <v>0.747972310918356</v>
      </c>
      <c r="C84" s="18" t="s">
        <v>657</v>
      </c>
      <c r="D84" s="0"/>
    </row>
    <row r="85" customFormat="false" ht="15" hidden="false" customHeight="false" outlineLevel="0" collapsed="false">
      <c r="A85" s="0"/>
      <c r="B85" s="0"/>
      <c r="C85" s="0"/>
      <c r="D85" s="0"/>
    </row>
    <row r="86" customFormat="false" ht="15" hidden="false" customHeight="false" outlineLevel="0" collapsed="false">
      <c r="A86" s="201" t="s">
        <v>658</v>
      </c>
      <c r="B86" s="202" t="n">
        <v>0.9</v>
      </c>
      <c r="C86" s="203" t="s">
        <v>651</v>
      </c>
      <c r="D86" s="18" t="s">
        <v>659</v>
      </c>
    </row>
    <row r="87" customFormat="false" ht="15" hidden="false" customHeight="false" outlineLevel="0" collapsed="false">
      <c r="A87" s="18" t="s">
        <v>652</v>
      </c>
      <c r="B87" s="19" t="n">
        <f aca="false">Algae_P_fertilizer</f>
        <v>0.00968992248062015</v>
      </c>
      <c r="C87" s="18" t="s">
        <v>653</v>
      </c>
    </row>
    <row r="88" customFormat="false" ht="15" hidden="false" customHeight="false" outlineLevel="0" collapsed="false">
      <c r="A88" s="18" t="s">
        <v>654</v>
      </c>
      <c r="B88" s="19" t="n">
        <f aca="false">B87*B86</f>
        <v>0.00872093023255814</v>
      </c>
    </row>
    <row r="89" customFormat="false" ht="15" hidden="false" customHeight="false" outlineLevel="0" collapsed="false">
      <c r="A89" s="18" t="s">
        <v>656</v>
      </c>
      <c r="B89" s="19" t="n">
        <f aca="false">B88*B39</f>
        <v>0.373986155459178</v>
      </c>
      <c r="C89" s="18" t="s">
        <v>657</v>
      </c>
    </row>
    <row r="90" customFormat="false" ht="15" hidden="false" customHeight="false" outlineLevel="0" collapsed="false">
      <c r="A90" s="0"/>
      <c r="B90" s="0"/>
      <c r="C90" s="0"/>
    </row>
    <row r="91" customFormat="false" ht="15" hidden="false" customHeight="false" outlineLevel="0" collapsed="false">
      <c r="A91" s="201" t="s">
        <v>660</v>
      </c>
      <c r="B91" s="202" t="n">
        <v>0.3</v>
      </c>
      <c r="C91" s="203" t="s">
        <v>661</v>
      </c>
    </row>
    <row r="92" customFormat="false" ht="15" hidden="false" customHeight="false" outlineLevel="0" collapsed="false">
      <c r="A92" s="18" t="s">
        <v>662</v>
      </c>
      <c r="B92" s="19" t="n">
        <v>0.86</v>
      </c>
      <c r="C92" s="18" t="s">
        <v>663</v>
      </c>
    </row>
    <row r="93" customFormat="false" ht="15" hidden="false" customHeight="false" outlineLevel="0" collapsed="false">
      <c r="A93" s="18" t="s">
        <v>654</v>
      </c>
      <c r="B93" s="19" t="n">
        <f aca="false">B92*B91</f>
        <v>0.258</v>
      </c>
    </row>
    <row r="94" customFormat="false" ht="15" hidden="false" customHeight="false" outlineLevel="0" collapsed="false">
      <c r="A94" s="18" t="s">
        <v>656</v>
      </c>
      <c r="B94" s="205" t="n">
        <f aca="false">B93*B39</f>
        <v>11.0640064231043</v>
      </c>
      <c r="C94" s="18" t="s">
        <v>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2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1" sqref="M57:AC68 K6"/>
    </sheetView>
  </sheetViews>
  <sheetFormatPr defaultRowHeight="15"/>
  <cols>
    <col collapsed="false" hidden="false" max="1" min="1" style="18" width="8.63775510204082"/>
    <col collapsed="false" hidden="false" max="2" min="2" style="18" width="14.7142857142857"/>
    <col collapsed="false" hidden="false" max="3" min="3" style="18" width="8.63775510204082"/>
    <col collapsed="false" hidden="false" max="4" min="4" style="18" width="23.219387755102"/>
    <col collapsed="false" hidden="false" max="7" min="5" style="18" width="8.63775510204082"/>
    <col collapsed="false" hidden="false" max="8" min="8" style="211" width="8.63775510204082"/>
    <col collapsed="false" hidden="false" max="29" min="9" style="18" width="8.63775510204082"/>
    <col collapsed="false" hidden="false" max="30" min="30" style="211" width="8.63775510204082"/>
    <col collapsed="false" hidden="false" max="51" min="31" style="18" width="8.63775510204082"/>
    <col collapsed="false" hidden="false" max="52" min="52" style="211" width="8.63775510204082"/>
    <col collapsed="false" hidden="false" max="1025" min="53" style="18" width="8.6377551020408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44" t="n">
        <f aca="false">40*365/1000</f>
        <v>14.6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44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44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</row>
    <row r="2" customFormat="false" ht="15" hidden="false" customHeight="false" outlineLevel="0" collapsed="false">
      <c r="A2" s="1" t="s">
        <v>667</v>
      </c>
      <c r="B2" s="197" t="n">
        <v>10</v>
      </c>
      <c r="C2" s="212" t="s">
        <v>169</v>
      </c>
      <c r="D2" s="0"/>
      <c r="E2" s="18" t="n">
        <f aca="false">RANDBETWEEN(900,1100)/1000*$B$2</f>
        <v>10.7</v>
      </c>
      <c r="F2" s="0"/>
      <c r="G2" s="18" t="s">
        <v>668</v>
      </c>
      <c r="H2" s="4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44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44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</row>
    <row r="3" customFormat="false" ht="15" hidden="false" customHeight="false" outlineLevel="0" collapsed="false">
      <c r="A3" s="213" t="s">
        <v>669</v>
      </c>
      <c r="B3" s="214" t="n">
        <f aca="false">Control!G14</f>
        <v>0</v>
      </c>
      <c r="C3" s="0" t="s">
        <v>670</v>
      </c>
      <c r="D3" s="0"/>
      <c r="E3" s="0"/>
      <c r="F3" s="18" t="n">
        <v>24.5</v>
      </c>
      <c r="G3" s="18" t="n">
        <v>0.5</v>
      </c>
      <c r="H3" s="44"/>
      <c r="I3" s="0"/>
      <c r="J3" s="0"/>
      <c r="K3" s="0"/>
      <c r="L3" s="0" t="s">
        <v>671</v>
      </c>
      <c r="M3" s="0" t="n">
        <f aca="false">1+1/(1+EXP(-$B$4*(M$5-$S$5)))</f>
        <v>1.04742587317757</v>
      </c>
      <c r="N3" s="0" t="n">
        <f aca="false">1+1/(1+EXP(-$B$4*(N$5-$S$5)))</f>
        <v>1.07585818002124</v>
      </c>
      <c r="O3" s="0" t="n">
        <f aca="false">1+1/(1+EXP(-$B$4*(O$5-$S$5)))</f>
        <v>1.11920292202212</v>
      </c>
      <c r="P3" s="0" t="n">
        <f aca="false">1+1/(1+EXP(-$B$4*(P$5-$S$5)))</f>
        <v>1.18242552380636</v>
      </c>
      <c r="Q3" s="0" t="n">
        <f aca="false">1+1/(1+EXP(-$B$4*(Q$5-$S$5)))</f>
        <v>1.26894142137</v>
      </c>
      <c r="R3" s="0" t="n">
        <f aca="false">1+1/(1+EXP(-$B$4*(R$5-$S$5)))</f>
        <v>1.37754066879815</v>
      </c>
      <c r="S3" s="0" t="n">
        <f aca="false">1+1/(1+EXP(-$B$4*(S$5-$S$5)))</f>
        <v>1.5</v>
      </c>
      <c r="T3" s="0" t="n">
        <f aca="false">1+1/(1+EXP(-$B$4*(T$5-$S$5)))</f>
        <v>1.62245933120185</v>
      </c>
      <c r="U3" s="0" t="n">
        <f aca="false">1+1/(1+EXP(-$B$4*(U$5-$S$5)))</f>
        <v>1.73105857863</v>
      </c>
      <c r="V3" s="0" t="n">
        <f aca="false">1+1/(1+EXP(-$B$4*(V$5-$S$5)))</f>
        <v>1.81757447619364</v>
      </c>
      <c r="W3" s="0" t="n">
        <f aca="false">1+1/(1+EXP(-$B$4*(W$5-$S$5)))</f>
        <v>1.88079707797788</v>
      </c>
      <c r="X3" s="0" t="n">
        <f aca="false">1+1/(1+EXP(-$B$4*(X$5-$S$5)))</f>
        <v>1.92414181997876</v>
      </c>
      <c r="Y3" s="0" t="n">
        <f aca="false">1+1/(1+EXP(-$B$4*(Y$5-$S$5)))</f>
        <v>1.95257412682243</v>
      </c>
      <c r="Z3" s="0" t="n">
        <f aca="false">1+1/(1+EXP(-$B$4*(Z$5-$S$5)))</f>
        <v>1.97068776924864</v>
      </c>
      <c r="AA3" s="0" t="n">
        <f aca="false">1+1/(1+EXP(-$B$4*(AA$5-$S$5)))</f>
        <v>1.98201379003791</v>
      </c>
      <c r="AB3" s="0" t="n">
        <f aca="false">1+1/(1+EXP(-$B$4*(AB$5-$S$5)))</f>
        <v>1.98901305736941</v>
      </c>
      <c r="AC3" s="0" t="n">
        <f aca="false">1+1/(1+EXP(-$B$4*(AC$5-$S$5)))</f>
        <v>1.99330714907572</v>
      </c>
      <c r="AD3" s="44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44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</row>
    <row r="4" customFormat="false" ht="15" hidden="false" customHeight="false" outlineLevel="0" collapsed="false">
      <c r="A4" s="0" t="s">
        <v>672</v>
      </c>
      <c r="B4" s="0" t="n">
        <v>0.1</v>
      </c>
      <c r="C4" s="0"/>
      <c r="D4" s="0"/>
      <c r="E4" s="212" t="s">
        <v>169</v>
      </c>
      <c r="F4" s="0"/>
      <c r="G4" s="0"/>
      <c r="H4" s="215" t="s">
        <v>673</v>
      </c>
      <c r="I4" s="201"/>
      <c r="J4" s="201"/>
      <c r="K4" s="201"/>
      <c r="L4" s="201"/>
      <c r="M4" s="201"/>
      <c r="N4" s="0"/>
      <c r="O4" s="0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16" t="s">
        <v>674</v>
      </c>
      <c r="AE4" s="201"/>
      <c r="AF4" s="201"/>
      <c r="AG4" s="201"/>
      <c r="AH4" s="201"/>
      <c r="AI4" s="201"/>
      <c r="AJ4" s="0"/>
      <c r="AK4" s="201"/>
      <c r="AL4" s="201"/>
      <c r="AM4" s="201"/>
      <c r="AN4" s="201"/>
      <c r="AO4" s="201"/>
      <c r="AP4" s="201"/>
      <c r="AQ4" s="201"/>
      <c r="AR4" s="201"/>
      <c r="AS4" s="201"/>
      <c r="AT4" s="201"/>
      <c r="AU4" s="201"/>
      <c r="AV4" s="201"/>
      <c r="AW4" s="201"/>
      <c r="AX4" s="201"/>
      <c r="AY4" s="201"/>
      <c r="AZ4" s="215" t="s">
        <v>675</v>
      </c>
      <c r="BA4" s="201"/>
      <c r="BB4" s="201"/>
      <c r="BC4" s="201"/>
      <c r="BD4" s="201"/>
      <c r="BE4" s="201"/>
      <c r="BF4" s="0"/>
      <c r="BG4" s="201"/>
      <c r="BH4" s="201"/>
      <c r="BI4" s="201"/>
      <c r="BJ4" s="201"/>
      <c r="BK4" s="201"/>
      <c r="BL4" s="201"/>
      <c r="BM4" s="201"/>
      <c r="BN4" s="201"/>
      <c r="BO4" s="201"/>
      <c r="BP4" s="201"/>
      <c r="BQ4" s="201"/>
      <c r="BR4" s="201"/>
      <c r="BS4" s="201"/>
      <c r="BT4" s="201"/>
      <c r="BU4" s="201"/>
    </row>
    <row r="5" customFormat="false" ht="15" hidden="false" customHeight="false" outlineLevel="0" collapsed="false">
      <c r="A5" s="189" t="s">
        <v>676</v>
      </c>
      <c r="B5" s="189" t="s">
        <v>677</v>
      </c>
      <c r="C5" s="189" t="s">
        <v>678</v>
      </c>
      <c r="D5" s="189" t="s">
        <v>679</v>
      </c>
      <c r="E5" s="189" t="s">
        <v>673</v>
      </c>
      <c r="F5" s="16" t="s">
        <v>680</v>
      </c>
      <c r="G5" s="16" t="s">
        <v>681</v>
      </c>
      <c r="H5" s="217" t="n">
        <v>1975</v>
      </c>
      <c r="I5" s="189" t="n">
        <v>1990</v>
      </c>
      <c r="J5" s="189" t="n">
        <v>2005</v>
      </c>
      <c r="K5" s="189" t="n">
        <v>2010</v>
      </c>
      <c r="L5" s="189" t="n">
        <v>2015</v>
      </c>
      <c r="M5" s="189" t="n">
        <v>2020</v>
      </c>
      <c r="N5" s="189" t="n">
        <v>2025</v>
      </c>
      <c r="O5" s="189" t="n">
        <v>2030</v>
      </c>
      <c r="P5" s="189" t="n">
        <v>2035</v>
      </c>
      <c r="Q5" s="189" t="n">
        <v>2040</v>
      </c>
      <c r="R5" s="189" t="n">
        <v>2045</v>
      </c>
      <c r="S5" s="189" t="n">
        <v>2050</v>
      </c>
      <c r="T5" s="189" t="n">
        <v>2055</v>
      </c>
      <c r="U5" s="189" t="n">
        <v>2060</v>
      </c>
      <c r="V5" s="189" t="n">
        <v>2065</v>
      </c>
      <c r="W5" s="189" t="n">
        <v>2070</v>
      </c>
      <c r="X5" s="189" t="n">
        <v>2075</v>
      </c>
      <c r="Y5" s="189" t="n">
        <v>2080</v>
      </c>
      <c r="Z5" s="189" t="n">
        <v>2085</v>
      </c>
      <c r="AA5" s="189" t="n">
        <v>2090</v>
      </c>
      <c r="AB5" s="189" t="n">
        <v>2095</v>
      </c>
      <c r="AC5" s="189" t="n">
        <v>2100</v>
      </c>
      <c r="AD5" s="217" t="n">
        <v>1975</v>
      </c>
      <c r="AE5" s="189" t="n">
        <v>1990</v>
      </c>
      <c r="AF5" s="189" t="n">
        <v>2005</v>
      </c>
      <c r="AG5" s="189" t="n">
        <v>2010</v>
      </c>
      <c r="AH5" s="189" t="n">
        <v>2015</v>
      </c>
      <c r="AI5" s="189" t="n">
        <v>2020</v>
      </c>
      <c r="AJ5" s="189" t="n">
        <v>2025</v>
      </c>
      <c r="AK5" s="189" t="n">
        <v>2030</v>
      </c>
      <c r="AL5" s="189" t="n">
        <v>2035</v>
      </c>
      <c r="AM5" s="189" t="n">
        <v>2040</v>
      </c>
      <c r="AN5" s="189" t="n">
        <v>2045</v>
      </c>
      <c r="AO5" s="189" t="n">
        <v>2050</v>
      </c>
      <c r="AP5" s="189" t="n">
        <v>2055</v>
      </c>
      <c r="AQ5" s="189" t="n">
        <v>2060</v>
      </c>
      <c r="AR5" s="189" t="n">
        <v>2065</v>
      </c>
      <c r="AS5" s="189" t="n">
        <v>2070</v>
      </c>
      <c r="AT5" s="189" t="n">
        <v>2075</v>
      </c>
      <c r="AU5" s="189" t="n">
        <v>2080</v>
      </c>
      <c r="AV5" s="189" t="n">
        <v>2085</v>
      </c>
      <c r="AW5" s="189" t="n">
        <v>2090</v>
      </c>
      <c r="AX5" s="189" t="n">
        <v>2095</v>
      </c>
      <c r="AY5" s="189" t="n">
        <v>2100</v>
      </c>
      <c r="AZ5" s="217" t="n">
        <v>1975</v>
      </c>
      <c r="BA5" s="189" t="n">
        <v>1990</v>
      </c>
      <c r="BB5" s="189" t="n">
        <v>2005</v>
      </c>
      <c r="BC5" s="189" t="n">
        <v>2010</v>
      </c>
      <c r="BD5" s="189" t="n">
        <v>2015</v>
      </c>
      <c r="BE5" s="189" t="n">
        <v>2020</v>
      </c>
      <c r="BF5" s="189" t="n">
        <v>2025</v>
      </c>
      <c r="BG5" s="189" t="n">
        <v>2030</v>
      </c>
      <c r="BH5" s="189" t="n">
        <v>2035</v>
      </c>
      <c r="BI5" s="189" t="n">
        <v>2040</v>
      </c>
      <c r="BJ5" s="189" t="n">
        <v>2045</v>
      </c>
      <c r="BK5" s="189" t="n">
        <v>2050</v>
      </c>
      <c r="BL5" s="189" t="n">
        <v>2055</v>
      </c>
      <c r="BM5" s="189" t="n">
        <v>2060</v>
      </c>
      <c r="BN5" s="189" t="n">
        <v>2065</v>
      </c>
      <c r="BO5" s="189" t="n">
        <v>2070</v>
      </c>
      <c r="BP5" s="189" t="n">
        <v>2075</v>
      </c>
      <c r="BQ5" s="189" t="n">
        <v>2080</v>
      </c>
      <c r="BR5" s="189" t="n">
        <v>2085</v>
      </c>
      <c r="BS5" s="189" t="n">
        <v>2090</v>
      </c>
      <c r="BT5" s="189" t="n">
        <v>2095</v>
      </c>
      <c r="BU5" s="189" t="n">
        <v>2100</v>
      </c>
    </row>
    <row r="6" customFormat="false" ht="15" hidden="false" customHeight="false" outlineLevel="0" collapsed="false">
      <c r="A6" s="18" t="s">
        <v>50</v>
      </c>
      <c r="B6" s="18" t="s">
        <v>22</v>
      </c>
      <c r="C6" s="18" t="s">
        <v>683</v>
      </c>
      <c r="D6" s="18" t="s">
        <v>683</v>
      </c>
      <c r="E6" s="185" t="n">
        <v>9</v>
      </c>
      <c r="F6" s="18" t="n">
        <f aca="false">E6/$B$2*$F$3/1000</f>
        <v>0.02205</v>
      </c>
      <c r="G6" s="18" t="n">
        <f aca="false">LOOKUP(RIGHT(D6,5),Ref!$C$4:$C$21,Ref!$E$4:$E$21)*$G$3</f>
        <v>3</v>
      </c>
      <c r="H6" s="222" t="n">
        <f aca="false">$E6</f>
        <v>9</v>
      </c>
      <c r="I6" s="185" t="n">
        <f aca="false">$E6</f>
        <v>9</v>
      </c>
      <c r="J6" s="185" t="n">
        <f aca="false">$E6</f>
        <v>9</v>
      </c>
      <c r="K6" s="185" t="n">
        <f aca="false">$E6</f>
        <v>9</v>
      </c>
      <c r="L6" s="185" t="n">
        <f aca="false">$E6</f>
        <v>9</v>
      </c>
      <c r="M6" s="185" t="n">
        <f aca="false">M$3*$E6</f>
        <v>9.4268328585981</v>
      </c>
      <c r="N6" s="185" t="n">
        <f aca="false">N$3*$E6</f>
        <v>9.68272362019119</v>
      </c>
      <c r="O6" s="185" t="n">
        <f aca="false">O$3*$E6</f>
        <v>10.0728262981991</v>
      </c>
      <c r="P6" s="185" t="n">
        <f aca="false">P$3*$E6</f>
        <v>10.6418297142572</v>
      </c>
      <c r="Q6" s="185" t="n">
        <f aca="false">Q$3*$E6</f>
        <v>11.42047279233</v>
      </c>
      <c r="R6" s="185" t="n">
        <f aca="false">R$3*$E6</f>
        <v>12.3978660191833</v>
      </c>
      <c r="S6" s="185" t="n">
        <f aca="false">S$3*$E6</f>
        <v>13.5</v>
      </c>
      <c r="T6" s="185" t="n">
        <f aca="false">T$3*$E6</f>
        <v>14.6021339808167</v>
      </c>
      <c r="U6" s="185" t="n">
        <f aca="false">U$3*$E6</f>
        <v>15.57952720767</v>
      </c>
      <c r="V6" s="185" t="n">
        <f aca="false">V$3*$E6</f>
        <v>16.3581702857428</v>
      </c>
      <c r="W6" s="185" t="n">
        <f aca="false">W$3*$E6</f>
        <v>16.9271737018009</v>
      </c>
      <c r="X6" s="185" t="n">
        <f aca="false">X$3*$E6</f>
        <v>17.3172763798088</v>
      </c>
      <c r="Y6" s="185" t="n">
        <f aca="false">Y$3*$E6</f>
        <v>17.5731671414019</v>
      </c>
      <c r="Z6" s="185" t="n">
        <f aca="false">Z$3*$E6</f>
        <v>17.7361899232378</v>
      </c>
      <c r="AA6" s="185" t="n">
        <f aca="false">AA$3*$E6</f>
        <v>17.8381241103412</v>
      </c>
      <c r="AB6" s="185" t="n">
        <f aca="false">AB$3*$E6</f>
        <v>17.9011175163247</v>
      </c>
      <c r="AC6" s="185" t="n">
        <f aca="false">AC$3*$E6</f>
        <v>17.9397643416814</v>
      </c>
      <c r="AD6" s="219" t="n">
        <f aca="false">Algae_electricity_factor/H6</f>
        <v>0.00152706634483658</v>
      </c>
      <c r="AE6" s="220" t="n">
        <f aca="false">Algae_electricity_factor/I6</f>
        <v>0.00152706634483658</v>
      </c>
      <c r="AF6" s="220" t="n">
        <f aca="false">Algae_electricity_factor/J6</f>
        <v>0.00152706634483658</v>
      </c>
      <c r="AG6" s="220" t="n">
        <f aca="false">Algae_electricity_factor/K6</f>
        <v>0.00152706634483658</v>
      </c>
      <c r="AH6" s="220" t="n">
        <f aca="false">Algae_electricity_factor/L6</f>
        <v>0.00152706634483658</v>
      </c>
      <c r="AI6" s="220" t="n">
        <f aca="false">Algae_electricity_factor/M6</f>
        <v>0.00145792307020633</v>
      </c>
      <c r="AJ6" s="220" t="n">
        <f aca="false">Algae_electricity_factor/N6</f>
        <v>0.00141939372046828</v>
      </c>
      <c r="AK6" s="220" t="n">
        <f aca="false">Algae_electricity_factor/O6</f>
        <v>0.00136442312183885</v>
      </c>
      <c r="AL6" s="220" t="n">
        <f aca="false">Algae_electricity_factor/P6</f>
        <v>0.00129146936876057</v>
      </c>
      <c r="AM6" s="220" t="n">
        <f aca="false">Algae_electricity_factor/Q6</f>
        <v>0.00120341752512729</v>
      </c>
      <c r="AN6" s="220" t="n">
        <f aca="false">Algae_electricity_factor/R6</f>
        <v>0.00110854538049239</v>
      </c>
      <c r="AO6" s="220" t="n">
        <f aca="false">Algae_electricity_factor/S6</f>
        <v>0.00101804422989106</v>
      </c>
      <c r="AP6" s="220" t="n">
        <f aca="false">Algae_electricity_factor/T6</f>
        <v>0.000941204697997202</v>
      </c>
      <c r="AQ6" s="220" t="n">
        <f aca="false">Algae_electricity_factor/U6</f>
        <v>0.00088215752123486</v>
      </c>
      <c r="AR6" s="220" t="n">
        <f aca="false">Algae_electricity_factor/V6</f>
        <v>0.000840167137488946</v>
      </c>
      <c r="AS6" s="220" t="n">
        <f aca="false">Algae_electricity_factor/W6</f>
        <v>0.00081192509426822</v>
      </c>
      <c r="AT6" s="220" t="n">
        <f aca="false">Algae_electricity_factor/X6</f>
        <v>0.000793635026784795</v>
      </c>
      <c r="AU6" s="220" t="n">
        <f aca="false">Algae_electricity_factor/Y6</f>
        <v>0.000782078551517883</v>
      </c>
      <c r="AV6" s="220" t="n">
        <f aca="false">Algae_electricity_factor/Z6</f>
        <v>0.000774890050400426</v>
      </c>
      <c r="AW6" s="220" t="n">
        <f aca="false">Algae_electricity_factor/AA6</f>
        <v>0.000770462018232162</v>
      </c>
      <c r="AX6" s="220" t="n">
        <f aca="false">Algae_electricity_factor/AB6</f>
        <v>0.000767750789356921</v>
      </c>
      <c r="AY6" s="220" t="n">
        <f aca="false">Algae_electricity_factor/AC6</f>
        <v>0.000766096858451883</v>
      </c>
      <c r="AZ6" s="211" t="n">
        <f aca="false">Algae_yield_cost_factor/H6</f>
        <v>0.0845380688095798</v>
      </c>
      <c r="BA6" s="18" t="n">
        <f aca="false">Algae_yield_cost_factor/I6</f>
        <v>0.0845380688095798</v>
      </c>
      <c r="BB6" s="18" t="n">
        <f aca="false">Algae_yield_cost_factor/J6</f>
        <v>0.0845380688095798</v>
      </c>
      <c r="BC6" s="18" t="n">
        <f aca="false">Algae_yield_cost_factor/K6</f>
        <v>0.0845380688095798</v>
      </c>
      <c r="BD6" s="18" t="n">
        <f aca="false">Algae_yield_cost_factor/L6</f>
        <v>0.0845380688095798</v>
      </c>
      <c r="BE6" s="18" t="n">
        <f aca="false">Algae_yield_cost_factor/M6</f>
        <v>0.0807103117981202</v>
      </c>
      <c r="BF6" s="18" t="n">
        <f aca="false">Algae_yield_cost_factor/N6</f>
        <v>0.0785773351724765</v>
      </c>
      <c r="BG6" s="18" t="n">
        <f aca="false">Algae_yield_cost_factor/O6</f>
        <v>0.0755341744970079</v>
      </c>
      <c r="BH6" s="18" t="n">
        <f aca="false">Algae_yield_cost_factor/P6</f>
        <v>0.0714954702072419</v>
      </c>
      <c r="BI6" s="18" t="n">
        <f aca="false">Algae_yield_cost_factor/Q6</f>
        <v>0.0666209388281371</v>
      </c>
      <c r="BJ6" s="18" t="n">
        <f aca="false">Algae_yield_cost_factor/R6</f>
        <v>0.0613688370328378</v>
      </c>
      <c r="BK6" s="18" t="n">
        <f aca="false">Algae_yield_cost_factor/S6</f>
        <v>0.0563587125397198</v>
      </c>
      <c r="BL6" s="18" t="n">
        <f aca="false">Algae_yield_cost_factor/T6</f>
        <v>0.0521048923592786</v>
      </c>
      <c r="BM6" s="18" t="n">
        <f aca="false">Algae_yield_cost_factor/U6</f>
        <v>0.0488360531834139</v>
      </c>
      <c r="BN6" s="18" t="n">
        <f aca="false">Algae_yield_cost_factor/V6</f>
        <v>0.0465114744495197</v>
      </c>
      <c r="BO6" s="18" t="n">
        <f aca="false">Algae_yield_cost_factor/W6</f>
        <v>0.0449480009297281</v>
      </c>
      <c r="BP6" s="18" t="n">
        <f aca="false">Algae_yield_cost_factor/X6</f>
        <v>0.0439354666749632</v>
      </c>
      <c r="BQ6" s="18" t="n">
        <f aca="false">Algae_yield_cost_factor/Y6</f>
        <v>0.0432957026564491</v>
      </c>
      <c r="BR6" s="18" t="n">
        <f aca="false">Algae_yield_cost_factor/Z6</f>
        <v>0.0428977487599729</v>
      </c>
      <c r="BS6" s="18" t="n">
        <f aca="false">Algae_yield_cost_factor/AA6</f>
        <v>0.0426526138387578</v>
      </c>
      <c r="BT6" s="18" t="n">
        <f aca="false">Algae_yield_cost_factor/AB6</f>
        <v>0.0425025207835421</v>
      </c>
      <c r="BU6" s="18" t="n">
        <f aca="false">Algae_yield_cost_factor/AC6</f>
        <v>0.0424109595196002</v>
      </c>
    </row>
    <row r="7" customFormat="false" ht="15" hidden="false" customHeight="false" outlineLevel="0" collapsed="false">
      <c r="A7" s="18" t="s">
        <v>50</v>
      </c>
      <c r="B7" s="18" t="s">
        <v>22</v>
      </c>
      <c r="C7" s="18" t="s">
        <v>684</v>
      </c>
      <c r="D7" s="18" t="s">
        <v>684</v>
      </c>
      <c r="E7" s="185" t="n">
        <v>8.91</v>
      </c>
      <c r="F7" s="18" t="n">
        <f aca="false">E7/$B$2*$F$3/1000</f>
        <v>0.0218295</v>
      </c>
      <c r="G7" s="18" t="n">
        <f aca="false">LOOKUP(RIGHT(D7,5),Ref!$C$4:$C$21,Ref!$E$4:$E$21)*$G$3</f>
        <v>3.5</v>
      </c>
      <c r="H7" s="222" t="n">
        <f aca="false">$E7</f>
        <v>8.91</v>
      </c>
      <c r="I7" s="185" t="n">
        <f aca="false">$E7</f>
        <v>8.91</v>
      </c>
      <c r="J7" s="185" t="n">
        <f aca="false">$E7</f>
        <v>8.91</v>
      </c>
      <c r="K7" s="185" t="n">
        <f aca="false">$E7</f>
        <v>8.91</v>
      </c>
      <c r="L7" s="185" t="n">
        <f aca="false">$E7</f>
        <v>8.91</v>
      </c>
      <c r="M7" s="185" t="n">
        <f aca="false">M$3*$E7</f>
        <v>9.33256453001212</v>
      </c>
      <c r="N7" s="185" t="n">
        <f aca="false">N$3*$E7</f>
        <v>9.58589638398928</v>
      </c>
      <c r="O7" s="185" t="n">
        <f aca="false">O$3*$E7</f>
        <v>9.97209803521707</v>
      </c>
      <c r="P7" s="185" t="n">
        <f aca="false">P$3*$E7</f>
        <v>10.5354114171146</v>
      </c>
      <c r="Q7" s="185" t="n">
        <f aca="false">Q$3*$E7</f>
        <v>11.3062680644067</v>
      </c>
      <c r="R7" s="185" t="n">
        <f aca="false">R$3*$E7</f>
        <v>12.2738873589915</v>
      </c>
      <c r="S7" s="185" t="n">
        <f aca="false">S$3*$E7</f>
        <v>13.365</v>
      </c>
      <c r="T7" s="185" t="n">
        <f aca="false">T$3*$E7</f>
        <v>14.4561126410085</v>
      </c>
      <c r="U7" s="185" t="n">
        <f aca="false">U$3*$E7</f>
        <v>15.4237319355933</v>
      </c>
      <c r="V7" s="185" t="n">
        <f aca="false">V$3*$E7</f>
        <v>16.1945885828854</v>
      </c>
      <c r="W7" s="185" t="n">
        <f aca="false">W$3*$E7</f>
        <v>16.7579019647829</v>
      </c>
      <c r="X7" s="185" t="n">
        <f aca="false">X$3*$E7</f>
        <v>17.1441036160107</v>
      </c>
      <c r="Y7" s="185" t="n">
        <f aca="false">Y$3*$E7</f>
        <v>17.3974354699879</v>
      </c>
      <c r="Z7" s="185" t="n">
        <f aca="false">Z$3*$E7</f>
        <v>17.5588280240054</v>
      </c>
      <c r="AA7" s="185" t="n">
        <f aca="false">AA$3*$E7</f>
        <v>17.6597428692378</v>
      </c>
      <c r="AB7" s="185" t="n">
        <f aca="false">AB$3*$E7</f>
        <v>17.7221063411614</v>
      </c>
      <c r="AC7" s="185" t="n">
        <f aca="false">AC$3*$E7</f>
        <v>17.7603666982646</v>
      </c>
      <c r="AD7" s="219" t="n">
        <f aca="false">Algae_electricity_factor/H7</f>
        <v>0.00154249125741069</v>
      </c>
      <c r="AE7" s="220" t="n">
        <f aca="false">Algae_electricity_factor/I7</f>
        <v>0.00154249125741069</v>
      </c>
      <c r="AF7" s="220" t="n">
        <f aca="false">Algae_electricity_factor/J7</f>
        <v>0.00154249125741069</v>
      </c>
      <c r="AG7" s="220" t="n">
        <f aca="false">Algae_electricity_factor/K7</f>
        <v>0.00154249125741069</v>
      </c>
      <c r="AH7" s="220" t="n">
        <f aca="false">Algae_electricity_factor/L7</f>
        <v>0.00154249125741069</v>
      </c>
      <c r="AI7" s="220" t="n">
        <f aca="false">Algae_electricity_factor/M7</f>
        <v>0.00147264956586498</v>
      </c>
      <c r="AJ7" s="220" t="n">
        <f aca="false">Algae_electricity_factor/N7</f>
        <v>0.00143373103077604</v>
      </c>
      <c r="AK7" s="220" t="n">
        <f aca="false">Algae_electricity_factor/O7</f>
        <v>0.0013782051735746</v>
      </c>
      <c r="AL7" s="220" t="n">
        <f aca="false">Algae_electricity_factor/P7</f>
        <v>0.00130451451389957</v>
      </c>
      <c r="AM7" s="220" t="n">
        <f aca="false">Algae_electricity_factor/Q7</f>
        <v>0.00121557325770433</v>
      </c>
      <c r="AN7" s="220" t="n">
        <f aca="false">Algae_electricity_factor/R7</f>
        <v>0.00111974280857817</v>
      </c>
      <c r="AO7" s="220" t="n">
        <f aca="false">Algae_electricity_factor/S7</f>
        <v>0.00102832750494046</v>
      </c>
      <c r="AP7" s="220" t="n">
        <f aca="false">Algae_electricity_factor/T7</f>
        <v>0.00095071181615879</v>
      </c>
      <c r="AQ7" s="220" t="n">
        <f aca="false">Algae_electricity_factor/U7</f>
        <v>0.000891068203267535</v>
      </c>
      <c r="AR7" s="220" t="n">
        <f aca="false">Algae_electricity_factor/V7</f>
        <v>0.000848653674231259</v>
      </c>
      <c r="AS7" s="220" t="n">
        <f aca="false">Algae_electricity_factor/W7</f>
        <v>0.000820126357846687</v>
      </c>
      <c r="AT7" s="220" t="n">
        <f aca="false">Algae_electricity_factor/X7</f>
        <v>0.000801651542206863</v>
      </c>
      <c r="AU7" s="220" t="n">
        <f aca="false">Algae_electricity_factor/Y7</f>
        <v>0.000789978334866549</v>
      </c>
      <c r="AV7" s="220" t="n">
        <f aca="false">Algae_electricity_factor/Z7</f>
        <v>0.000782717222626693</v>
      </c>
      <c r="AW7" s="220" t="n">
        <f aca="false">Algae_electricity_factor/AA7</f>
        <v>0.00077824446286077</v>
      </c>
      <c r="AX7" s="220" t="n">
        <f aca="false">Algae_electricity_factor/AB7</f>
        <v>0.000775505847835273</v>
      </c>
      <c r="AY7" s="220" t="n">
        <f aca="false">Algae_electricity_factor/AC7</f>
        <v>0.000773835210557458</v>
      </c>
      <c r="AZ7" s="211" t="n">
        <f aca="false">Algae_yield_cost_factor/H7</f>
        <v>0.0853919886965452</v>
      </c>
      <c r="BA7" s="18" t="n">
        <f aca="false">Algae_yield_cost_factor/I7</f>
        <v>0.0853919886965452</v>
      </c>
      <c r="BB7" s="18" t="n">
        <f aca="false">Algae_yield_cost_factor/J7</f>
        <v>0.0853919886965452</v>
      </c>
      <c r="BC7" s="18" t="n">
        <f aca="false">Algae_yield_cost_factor/K7</f>
        <v>0.0853919886965452</v>
      </c>
      <c r="BD7" s="18" t="n">
        <f aca="false">Algae_yield_cost_factor/L7</f>
        <v>0.0853919886965452</v>
      </c>
      <c r="BE7" s="18" t="n">
        <f aca="false">Algae_yield_cost_factor/M7</f>
        <v>0.0815255674728487</v>
      </c>
      <c r="BF7" s="18" t="n">
        <f aca="false">Algae_yield_cost_factor/N7</f>
        <v>0.0793710456287641</v>
      </c>
      <c r="BG7" s="18" t="n">
        <f aca="false">Algae_yield_cost_factor/O7</f>
        <v>0.0762971459565736</v>
      </c>
      <c r="BH7" s="18" t="n">
        <f aca="false">Algae_yield_cost_factor/P7</f>
        <v>0.0722176466739817</v>
      </c>
      <c r="BI7" s="18" t="n">
        <f aca="false">Algae_yield_cost_factor/Q7</f>
        <v>0.0672938776041789</v>
      </c>
      <c r="BJ7" s="18" t="n">
        <f aca="false">Algae_yield_cost_factor/R7</f>
        <v>0.0619887242755937</v>
      </c>
      <c r="BK7" s="18" t="n">
        <f aca="false">Algae_yield_cost_factor/S7</f>
        <v>0.0569279924643635</v>
      </c>
      <c r="BL7" s="18" t="n">
        <f aca="false">Algae_yield_cost_factor/T7</f>
        <v>0.0526312044033117</v>
      </c>
      <c r="BM7" s="18" t="n">
        <f aca="false">Algae_yield_cost_factor/U7</f>
        <v>0.049329346649913</v>
      </c>
      <c r="BN7" s="18" t="n">
        <f aca="false">Algae_yield_cost_factor/V7</f>
        <v>0.0469812873227471</v>
      </c>
      <c r="BO7" s="18" t="n">
        <f aca="false">Algae_yield_cost_factor/W7</f>
        <v>0.0454020211411395</v>
      </c>
      <c r="BP7" s="18" t="n">
        <f aca="false">Algae_yield_cost_factor/X7</f>
        <v>0.0443792592676396</v>
      </c>
      <c r="BQ7" s="18" t="n">
        <f aca="false">Algae_yield_cost_factor/Y7</f>
        <v>0.0437330329863122</v>
      </c>
      <c r="BR7" s="18" t="n">
        <f aca="false">Algae_yield_cost_factor/Z7</f>
        <v>0.043331059353508</v>
      </c>
      <c r="BS7" s="18" t="n">
        <f aca="false">Algae_yield_cost_factor/AA7</f>
        <v>0.0430834483219776</v>
      </c>
      <c r="BT7" s="18" t="n">
        <f aca="false">Algae_yield_cost_factor/AB7</f>
        <v>0.042931839175295</v>
      </c>
      <c r="BU7" s="18" t="n">
        <f aca="false">Algae_yield_cost_factor/AC7</f>
        <v>0.0428393530501012</v>
      </c>
    </row>
    <row r="8" customFormat="false" ht="15" hidden="false" customHeight="false" outlineLevel="0" collapsed="false">
      <c r="A8" s="18" t="s">
        <v>50</v>
      </c>
      <c r="B8" s="18" t="s">
        <v>22</v>
      </c>
      <c r="C8" s="18" t="s">
        <v>685</v>
      </c>
      <c r="D8" s="18" t="s">
        <v>685</v>
      </c>
      <c r="E8" s="185" t="n">
        <v>6</v>
      </c>
      <c r="F8" s="18" t="n">
        <f aca="false">E8/$B$2*$F$3/1000</f>
        <v>0.0147</v>
      </c>
      <c r="G8" s="18" t="n">
        <f aca="false">LOOKUP(RIGHT(D8,5),Ref!$C$4:$C$21,Ref!$E$4:$E$21)*$G$3</f>
        <v>4</v>
      </c>
      <c r="H8" s="222" t="n">
        <f aca="false">$E8</f>
        <v>6</v>
      </c>
      <c r="I8" s="185" t="n">
        <f aca="false">$E8</f>
        <v>6</v>
      </c>
      <c r="J8" s="185" t="n">
        <f aca="false">$E8</f>
        <v>6</v>
      </c>
      <c r="K8" s="185" t="n">
        <f aca="false">$E8</f>
        <v>6</v>
      </c>
      <c r="L8" s="185" t="n">
        <f aca="false">$E8</f>
        <v>6</v>
      </c>
      <c r="M8" s="185" t="n">
        <f aca="false">M$3*$E8</f>
        <v>6.2845552390654</v>
      </c>
      <c r="N8" s="185" t="n">
        <f aca="false">N$3*$E8</f>
        <v>6.45514908012746</v>
      </c>
      <c r="O8" s="185" t="n">
        <f aca="false">O$3*$E8</f>
        <v>6.71521753213271</v>
      </c>
      <c r="P8" s="185" t="n">
        <f aca="false">P$3*$E8</f>
        <v>7.09455314283814</v>
      </c>
      <c r="Q8" s="185" t="n">
        <f aca="false">Q$3*$E8</f>
        <v>7.61364852821997</v>
      </c>
      <c r="R8" s="185" t="n">
        <f aca="false">R$3*$E8</f>
        <v>8.26524401278887</v>
      </c>
      <c r="S8" s="185" t="n">
        <f aca="false">S$3*$E8</f>
        <v>9</v>
      </c>
      <c r="T8" s="185" t="n">
        <f aca="false">T$3*$E8</f>
        <v>9.73475598721113</v>
      </c>
      <c r="U8" s="185" t="n">
        <f aca="false">U$3*$E8</f>
        <v>10.38635147178</v>
      </c>
      <c r="V8" s="185" t="n">
        <f aca="false">V$3*$E8</f>
        <v>10.9054468571619</v>
      </c>
      <c r="W8" s="185" t="n">
        <f aca="false">W$3*$E8</f>
        <v>11.2847824678673</v>
      </c>
      <c r="X8" s="185" t="n">
        <f aca="false">X$3*$E8</f>
        <v>11.5448509198725</v>
      </c>
      <c r="Y8" s="185" t="n">
        <f aca="false">Y$3*$E8</f>
        <v>11.7154447609346</v>
      </c>
      <c r="Z8" s="185" t="n">
        <f aca="false">Z$3*$E8</f>
        <v>11.8241266154919</v>
      </c>
      <c r="AA8" s="185" t="n">
        <f aca="false">AA$3*$E8</f>
        <v>11.8920827402275</v>
      </c>
      <c r="AB8" s="185" t="n">
        <f aca="false">AB$3*$E8</f>
        <v>11.9340783442164</v>
      </c>
      <c r="AC8" s="185" t="n">
        <f aca="false">AC$3*$E8</f>
        <v>11.9598428944543</v>
      </c>
      <c r="AD8" s="219" t="n">
        <f aca="false">Algae_electricity_factor/H8</f>
        <v>0.00229059951725488</v>
      </c>
      <c r="AE8" s="220" t="n">
        <f aca="false">Algae_electricity_factor/I8</f>
        <v>0.00229059951725488</v>
      </c>
      <c r="AF8" s="220" t="n">
        <f aca="false">Algae_electricity_factor/J8</f>
        <v>0.00229059951725488</v>
      </c>
      <c r="AG8" s="220" t="n">
        <f aca="false">Algae_electricity_factor/K8</f>
        <v>0.00229059951725488</v>
      </c>
      <c r="AH8" s="220" t="n">
        <f aca="false">Algae_electricity_factor/L8</f>
        <v>0.00229059951725488</v>
      </c>
      <c r="AI8" s="220" t="n">
        <f aca="false">Algae_electricity_factor/M8</f>
        <v>0.00218688460530949</v>
      </c>
      <c r="AJ8" s="220" t="n">
        <f aca="false">Algae_electricity_factor/N8</f>
        <v>0.00212909058070242</v>
      </c>
      <c r="AK8" s="220" t="n">
        <f aca="false">Algae_electricity_factor/O8</f>
        <v>0.00204663468275828</v>
      </c>
      <c r="AL8" s="220" t="n">
        <f aca="false">Algae_electricity_factor/P8</f>
        <v>0.00193720405314086</v>
      </c>
      <c r="AM8" s="220" t="n">
        <f aca="false">Algae_electricity_factor/Q8</f>
        <v>0.00180512628769093</v>
      </c>
      <c r="AN8" s="220" t="n">
        <f aca="false">Algae_electricity_factor/R8</f>
        <v>0.00166281807073859</v>
      </c>
      <c r="AO8" s="220" t="n">
        <f aca="false">Algae_electricity_factor/S8</f>
        <v>0.00152706634483658</v>
      </c>
      <c r="AP8" s="220" t="n">
        <f aca="false">Algae_electricity_factor/T8</f>
        <v>0.0014118070469958</v>
      </c>
      <c r="AQ8" s="220" t="n">
        <f aca="false">Algae_electricity_factor/U8</f>
        <v>0.00132323628185229</v>
      </c>
      <c r="AR8" s="220" t="n">
        <f aca="false">Algae_electricity_factor/V8</f>
        <v>0.00126025070623342</v>
      </c>
      <c r="AS8" s="220" t="n">
        <f aca="false">Algae_electricity_factor/W8</f>
        <v>0.00121788764140233</v>
      </c>
      <c r="AT8" s="220" t="n">
        <f aca="false">Algae_electricity_factor/X8</f>
        <v>0.00119045254017719</v>
      </c>
      <c r="AU8" s="220" t="n">
        <f aca="false">Algae_electricity_factor/Y8</f>
        <v>0.00117311782727683</v>
      </c>
      <c r="AV8" s="220" t="n">
        <f aca="false">Algae_electricity_factor/Z8</f>
        <v>0.00116233507560064</v>
      </c>
      <c r="AW8" s="220" t="n">
        <f aca="false">Algae_electricity_factor/AA8</f>
        <v>0.00115569302734824</v>
      </c>
      <c r="AX8" s="220" t="n">
        <f aca="false">Algae_electricity_factor/AB8</f>
        <v>0.00115162618403538</v>
      </c>
      <c r="AY8" s="220" t="n">
        <f aca="false">Algae_electricity_factor/AC8</f>
        <v>0.00114914528767782</v>
      </c>
      <c r="AZ8" s="211" t="n">
        <f aca="false">Algae_yield_cost_factor/H8</f>
        <v>0.12680710321437</v>
      </c>
      <c r="BA8" s="18" t="n">
        <f aca="false">Algae_yield_cost_factor/I8</f>
        <v>0.12680710321437</v>
      </c>
      <c r="BB8" s="18" t="n">
        <f aca="false">Algae_yield_cost_factor/J8</f>
        <v>0.12680710321437</v>
      </c>
      <c r="BC8" s="18" t="n">
        <f aca="false">Algae_yield_cost_factor/K8</f>
        <v>0.12680710321437</v>
      </c>
      <c r="BD8" s="18" t="n">
        <f aca="false">Algae_yield_cost_factor/L8</f>
        <v>0.12680710321437</v>
      </c>
      <c r="BE8" s="18" t="n">
        <f aca="false">Algae_yield_cost_factor/M8</f>
        <v>0.12106546769718</v>
      </c>
      <c r="BF8" s="18" t="n">
        <f aca="false">Algae_yield_cost_factor/N8</f>
        <v>0.117866002758715</v>
      </c>
      <c r="BG8" s="18" t="n">
        <f aca="false">Algae_yield_cost_factor/O8</f>
        <v>0.113301261745512</v>
      </c>
      <c r="BH8" s="18" t="n">
        <f aca="false">Algae_yield_cost_factor/P8</f>
        <v>0.107243205310863</v>
      </c>
      <c r="BI8" s="18" t="n">
        <f aca="false">Algae_yield_cost_factor/Q8</f>
        <v>0.0999314082422056</v>
      </c>
      <c r="BJ8" s="18" t="n">
        <f aca="false">Algae_yield_cost_factor/R8</f>
        <v>0.0920532555492567</v>
      </c>
      <c r="BK8" s="18" t="n">
        <f aca="false">Algae_yield_cost_factor/S8</f>
        <v>0.0845380688095798</v>
      </c>
      <c r="BL8" s="18" t="n">
        <f aca="false">Algae_yield_cost_factor/T8</f>
        <v>0.0781573385389179</v>
      </c>
      <c r="BM8" s="18" t="n">
        <f aca="false">Algae_yield_cost_factor/U8</f>
        <v>0.0732540797751208</v>
      </c>
      <c r="BN8" s="18" t="n">
        <f aca="false">Algae_yield_cost_factor/V8</f>
        <v>0.0697672116742795</v>
      </c>
      <c r="BO8" s="18" t="n">
        <f aca="false">Algae_yield_cost_factor/W8</f>
        <v>0.0674220013945922</v>
      </c>
      <c r="BP8" s="18" t="n">
        <f aca="false">Algae_yield_cost_factor/X8</f>
        <v>0.0659032000124449</v>
      </c>
      <c r="BQ8" s="18" t="n">
        <f aca="false">Algae_yield_cost_factor/Y8</f>
        <v>0.0649435539846736</v>
      </c>
      <c r="BR8" s="18" t="n">
        <f aca="false">Algae_yield_cost_factor/Z8</f>
        <v>0.0643466231399593</v>
      </c>
      <c r="BS8" s="18" t="n">
        <f aca="false">Algae_yield_cost_factor/AA8</f>
        <v>0.0639789207581367</v>
      </c>
      <c r="BT8" s="18" t="n">
        <f aca="false">Algae_yield_cost_factor/AB8</f>
        <v>0.0637537811753131</v>
      </c>
      <c r="BU8" s="18" t="n">
        <f aca="false">Algae_yield_cost_factor/AC8</f>
        <v>0.0636164392794002</v>
      </c>
    </row>
    <row r="9" customFormat="false" ht="15" hidden="false" customHeight="false" outlineLevel="0" collapsed="false">
      <c r="A9" s="18" t="s">
        <v>50</v>
      </c>
      <c r="B9" s="18" t="s">
        <v>22</v>
      </c>
      <c r="C9" s="18" t="s">
        <v>686</v>
      </c>
      <c r="D9" s="18" t="s">
        <v>686</v>
      </c>
      <c r="E9" s="185" t="n">
        <v>6</v>
      </c>
      <c r="F9" s="18" t="n">
        <f aca="false">E9/$B$2*$F$3/1000</f>
        <v>0.0147</v>
      </c>
      <c r="G9" s="18" t="n">
        <f aca="false">LOOKUP(RIGHT(D9,5),Ref!$C$4:$C$21,Ref!$E$4:$E$21)*$G$3</f>
        <v>4.5</v>
      </c>
      <c r="H9" s="222" t="n">
        <f aca="false">$E9</f>
        <v>6</v>
      </c>
      <c r="I9" s="185" t="n">
        <f aca="false">$E9</f>
        <v>6</v>
      </c>
      <c r="J9" s="185" t="n">
        <f aca="false">$E9</f>
        <v>6</v>
      </c>
      <c r="K9" s="185" t="n">
        <f aca="false">$E9</f>
        <v>6</v>
      </c>
      <c r="L9" s="185" t="n">
        <f aca="false">$E9</f>
        <v>6</v>
      </c>
      <c r="M9" s="185" t="n">
        <f aca="false">M$3*$E9</f>
        <v>6.2845552390654</v>
      </c>
      <c r="N9" s="185" t="n">
        <f aca="false">N$3*$E9</f>
        <v>6.45514908012746</v>
      </c>
      <c r="O9" s="185" t="n">
        <f aca="false">O$3*$E9</f>
        <v>6.71521753213271</v>
      </c>
      <c r="P9" s="185" t="n">
        <f aca="false">P$3*$E9</f>
        <v>7.09455314283814</v>
      </c>
      <c r="Q9" s="185" t="n">
        <f aca="false">Q$3*$E9</f>
        <v>7.61364852821997</v>
      </c>
      <c r="R9" s="185" t="n">
        <f aca="false">R$3*$E9</f>
        <v>8.26524401278887</v>
      </c>
      <c r="S9" s="185" t="n">
        <f aca="false">S$3*$E9</f>
        <v>9</v>
      </c>
      <c r="T9" s="185" t="n">
        <f aca="false">T$3*$E9</f>
        <v>9.73475598721113</v>
      </c>
      <c r="U9" s="185" t="n">
        <f aca="false">U$3*$E9</f>
        <v>10.38635147178</v>
      </c>
      <c r="V9" s="185" t="n">
        <f aca="false">V$3*$E9</f>
        <v>10.9054468571619</v>
      </c>
      <c r="W9" s="185" t="n">
        <f aca="false">W$3*$E9</f>
        <v>11.2847824678673</v>
      </c>
      <c r="X9" s="185" t="n">
        <f aca="false">X$3*$E9</f>
        <v>11.5448509198725</v>
      </c>
      <c r="Y9" s="185" t="n">
        <f aca="false">Y$3*$E9</f>
        <v>11.7154447609346</v>
      </c>
      <c r="Z9" s="185" t="n">
        <f aca="false">Z$3*$E9</f>
        <v>11.8241266154919</v>
      </c>
      <c r="AA9" s="185" t="n">
        <f aca="false">AA$3*$E9</f>
        <v>11.8920827402275</v>
      </c>
      <c r="AB9" s="185" t="n">
        <f aca="false">AB$3*$E9</f>
        <v>11.9340783442164</v>
      </c>
      <c r="AC9" s="185" t="n">
        <f aca="false">AC$3*$E9</f>
        <v>11.9598428944543</v>
      </c>
      <c r="AD9" s="219" t="n">
        <f aca="false">Algae_electricity_factor/H9</f>
        <v>0.00229059951725488</v>
      </c>
      <c r="AE9" s="220" t="n">
        <f aca="false">Algae_electricity_factor/I9</f>
        <v>0.00229059951725488</v>
      </c>
      <c r="AF9" s="220" t="n">
        <f aca="false">Algae_electricity_factor/J9</f>
        <v>0.00229059951725488</v>
      </c>
      <c r="AG9" s="220" t="n">
        <f aca="false">Algae_electricity_factor/K9</f>
        <v>0.00229059951725488</v>
      </c>
      <c r="AH9" s="220" t="n">
        <f aca="false">Algae_electricity_factor/L9</f>
        <v>0.00229059951725488</v>
      </c>
      <c r="AI9" s="220" t="n">
        <f aca="false">Algae_electricity_factor/M9</f>
        <v>0.00218688460530949</v>
      </c>
      <c r="AJ9" s="220" t="n">
        <f aca="false">Algae_electricity_factor/N9</f>
        <v>0.00212909058070242</v>
      </c>
      <c r="AK9" s="220" t="n">
        <f aca="false">Algae_electricity_factor/O9</f>
        <v>0.00204663468275828</v>
      </c>
      <c r="AL9" s="220" t="n">
        <f aca="false">Algae_electricity_factor/P9</f>
        <v>0.00193720405314086</v>
      </c>
      <c r="AM9" s="220" t="n">
        <f aca="false">Algae_electricity_factor/Q9</f>
        <v>0.00180512628769093</v>
      </c>
      <c r="AN9" s="220" t="n">
        <f aca="false">Algae_electricity_factor/R9</f>
        <v>0.00166281807073859</v>
      </c>
      <c r="AO9" s="220" t="n">
        <f aca="false">Algae_electricity_factor/S9</f>
        <v>0.00152706634483658</v>
      </c>
      <c r="AP9" s="220" t="n">
        <f aca="false">Algae_electricity_factor/T9</f>
        <v>0.0014118070469958</v>
      </c>
      <c r="AQ9" s="220" t="n">
        <f aca="false">Algae_electricity_factor/U9</f>
        <v>0.00132323628185229</v>
      </c>
      <c r="AR9" s="220" t="n">
        <f aca="false">Algae_electricity_factor/V9</f>
        <v>0.00126025070623342</v>
      </c>
      <c r="AS9" s="220" t="n">
        <f aca="false">Algae_electricity_factor/W9</f>
        <v>0.00121788764140233</v>
      </c>
      <c r="AT9" s="220" t="n">
        <f aca="false">Algae_electricity_factor/X9</f>
        <v>0.00119045254017719</v>
      </c>
      <c r="AU9" s="220" t="n">
        <f aca="false">Algae_electricity_factor/Y9</f>
        <v>0.00117311782727683</v>
      </c>
      <c r="AV9" s="220" t="n">
        <f aca="false">Algae_electricity_factor/Z9</f>
        <v>0.00116233507560064</v>
      </c>
      <c r="AW9" s="220" t="n">
        <f aca="false">Algae_electricity_factor/AA9</f>
        <v>0.00115569302734824</v>
      </c>
      <c r="AX9" s="220" t="n">
        <f aca="false">Algae_electricity_factor/AB9</f>
        <v>0.00115162618403538</v>
      </c>
      <c r="AY9" s="220" t="n">
        <f aca="false">Algae_electricity_factor/AC9</f>
        <v>0.00114914528767782</v>
      </c>
      <c r="AZ9" s="211" t="n">
        <f aca="false">Algae_yield_cost_factor/H9</f>
        <v>0.12680710321437</v>
      </c>
      <c r="BA9" s="18" t="n">
        <f aca="false">Algae_yield_cost_factor/I9</f>
        <v>0.12680710321437</v>
      </c>
      <c r="BB9" s="18" t="n">
        <f aca="false">Algae_yield_cost_factor/J9</f>
        <v>0.12680710321437</v>
      </c>
      <c r="BC9" s="18" t="n">
        <f aca="false">Algae_yield_cost_factor/K9</f>
        <v>0.12680710321437</v>
      </c>
      <c r="BD9" s="18" t="n">
        <f aca="false">Algae_yield_cost_factor/L9</f>
        <v>0.12680710321437</v>
      </c>
      <c r="BE9" s="18" t="n">
        <f aca="false">Algae_yield_cost_factor/M9</f>
        <v>0.12106546769718</v>
      </c>
      <c r="BF9" s="18" t="n">
        <f aca="false">Algae_yield_cost_factor/N9</f>
        <v>0.117866002758715</v>
      </c>
      <c r="BG9" s="18" t="n">
        <f aca="false">Algae_yield_cost_factor/O9</f>
        <v>0.113301261745512</v>
      </c>
      <c r="BH9" s="18" t="n">
        <f aca="false">Algae_yield_cost_factor/P9</f>
        <v>0.107243205310863</v>
      </c>
      <c r="BI9" s="18" t="n">
        <f aca="false">Algae_yield_cost_factor/Q9</f>
        <v>0.0999314082422056</v>
      </c>
      <c r="BJ9" s="18" t="n">
        <f aca="false">Algae_yield_cost_factor/R9</f>
        <v>0.0920532555492567</v>
      </c>
      <c r="BK9" s="18" t="n">
        <f aca="false">Algae_yield_cost_factor/S9</f>
        <v>0.0845380688095798</v>
      </c>
      <c r="BL9" s="18" t="n">
        <f aca="false">Algae_yield_cost_factor/T9</f>
        <v>0.0781573385389179</v>
      </c>
      <c r="BM9" s="18" t="n">
        <f aca="false">Algae_yield_cost_factor/U9</f>
        <v>0.0732540797751208</v>
      </c>
      <c r="BN9" s="18" t="n">
        <f aca="false">Algae_yield_cost_factor/V9</f>
        <v>0.0697672116742795</v>
      </c>
      <c r="BO9" s="18" t="n">
        <f aca="false">Algae_yield_cost_factor/W9</f>
        <v>0.0674220013945922</v>
      </c>
      <c r="BP9" s="18" t="n">
        <f aca="false">Algae_yield_cost_factor/X9</f>
        <v>0.0659032000124449</v>
      </c>
      <c r="BQ9" s="18" t="n">
        <f aca="false">Algae_yield_cost_factor/Y9</f>
        <v>0.0649435539846736</v>
      </c>
      <c r="BR9" s="18" t="n">
        <f aca="false">Algae_yield_cost_factor/Z9</f>
        <v>0.0643466231399593</v>
      </c>
      <c r="BS9" s="18" t="n">
        <f aca="false">Algae_yield_cost_factor/AA9</f>
        <v>0.0639789207581367</v>
      </c>
      <c r="BT9" s="18" t="n">
        <f aca="false">Algae_yield_cost_factor/AB9</f>
        <v>0.0637537811753131</v>
      </c>
      <c r="BU9" s="18" t="n">
        <f aca="false">Algae_yield_cost_factor/AC9</f>
        <v>0.0636164392794002</v>
      </c>
    </row>
    <row r="10" customFormat="false" ht="15" hidden="false" customHeight="false" outlineLevel="0" collapsed="false">
      <c r="A10" s="18" t="s">
        <v>50</v>
      </c>
      <c r="B10" s="18" t="s">
        <v>22</v>
      </c>
      <c r="C10" s="18" t="s">
        <v>687</v>
      </c>
      <c r="D10" s="18" t="s">
        <v>687</v>
      </c>
      <c r="E10" s="185" t="n">
        <v>8.52225</v>
      </c>
      <c r="F10" s="18" t="n">
        <f aca="false">E10/$B$2*$F$3/1000</f>
        <v>0.0208795125</v>
      </c>
      <c r="G10" s="18" t="n">
        <f aca="false">LOOKUP(RIGHT(D10,5),Ref!$C$4:$C$21,Ref!$E$4:$E$21)*$G$3</f>
        <v>4.5</v>
      </c>
      <c r="H10" s="222" t="n">
        <f aca="false">$E10</f>
        <v>8.52225</v>
      </c>
      <c r="I10" s="185" t="n">
        <f aca="false">$E10</f>
        <v>8.52225</v>
      </c>
      <c r="J10" s="185" t="n">
        <f aca="false">$E10</f>
        <v>8.52225</v>
      </c>
      <c r="K10" s="185" t="n">
        <f aca="false">$E10</f>
        <v>8.52225</v>
      </c>
      <c r="L10" s="185" t="n">
        <f aca="false">$E10</f>
        <v>8.52225</v>
      </c>
      <c r="M10" s="185" t="n">
        <f aca="false">M$3*$E10</f>
        <v>8.92642514768752</v>
      </c>
      <c r="N10" s="185" t="n">
        <f aca="false">N$3*$E10</f>
        <v>9.16873237468604</v>
      </c>
      <c r="O10" s="185" t="n">
        <f aca="false">O$3*$E10</f>
        <v>9.53812710220299</v>
      </c>
      <c r="P10" s="185" t="n">
        <f aca="false">P$3*$E10</f>
        <v>10.0769259202587</v>
      </c>
      <c r="Q10" s="185" t="n">
        <f aca="false">Q$3*$E10</f>
        <v>10.8142360282704</v>
      </c>
      <c r="R10" s="185" t="n">
        <f aca="false">R$3*$E10</f>
        <v>11.739745964665</v>
      </c>
      <c r="S10" s="185" t="n">
        <f aca="false">S$3*$E10</f>
        <v>12.783375</v>
      </c>
      <c r="T10" s="185" t="n">
        <f aca="false">T$3*$E10</f>
        <v>13.827004035335</v>
      </c>
      <c r="U10" s="185" t="n">
        <f aca="false">U$3*$E10</f>
        <v>14.7525139717296</v>
      </c>
      <c r="V10" s="185" t="n">
        <f aca="false">V$3*$E10</f>
        <v>15.4898240797413</v>
      </c>
      <c r="W10" s="185" t="n">
        <f aca="false">W$3*$E10</f>
        <v>16.028622897797</v>
      </c>
      <c r="X10" s="185" t="n">
        <f aca="false">X$3*$E10</f>
        <v>16.398017625314</v>
      </c>
      <c r="Y10" s="185" t="n">
        <f aca="false">Y$3*$E10</f>
        <v>16.6403248523125</v>
      </c>
      <c r="Z10" s="185" t="n">
        <f aca="false">Z$3*$E10</f>
        <v>16.7946938414793</v>
      </c>
      <c r="AA10" s="185" t="n">
        <f aca="false">AA$3*$E10</f>
        <v>16.8912170221506</v>
      </c>
      <c r="AB10" s="185" t="n">
        <f aca="false">AB$3*$E10</f>
        <v>16.9508665281664</v>
      </c>
      <c r="AC10" s="185" t="n">
        <f aca="false">AC$3*$E10</f>
        <v>16.9874618512105</v>
      </c>
      <c r="AD10" s="219" t="n">
        <f aca="false">Algae_electricity_factor/H10</f>
        <v>0.00161267236980014</v>
      </c>
      <c r="AE10" s="220" t="n">
        <f aca="false">Algae_electricity_factor/I10</f>
        <v>0.00161267236980014</v>
      </c>
      <c r="AF10" s="220" t="n">
        <f aca="false">Algae_electricity_factor/J10</f>
        <v>0.00161267236980014</v>
      </c>
      <c r="AG10" s="220" t="n">
        <f aca="false">Algae_electricity_factor/K10</f>
        <v>0.00161267236980014</v>
      </c>
      <c r="AH10" s="220" t="n">
        <f aca="false">Algae_electricity_factor/L10</f>
        <v>0.00161267236980014</v>
      </c>
      <c r="AI10" s="220" t="n">
        <f aca="false">Algae_electricity_factor/M10</f>
        <v>0.00153965298270492</v>
      </c>
      <c r="AJ10" s="220" t="n">
        <f aca="false">Algae_electricity_factor/N10</f>
        <v>0.00149896371078231</v>
      </c>
      <c r="AK10" s="220" t="n">
        <f aca="false">Algae_electricity_factor/O10</f>
        <v>0.00144091150770626</v>
      </c>
      <c r="AL10" s="220" t="n">
        <f aca="false">Algae_electricity_factor/P10</f>
        <v>0.00136386803002085</v>
      </c>
      <c r="AM10" s="220" t="n">
        <f aca="false">Algae_electricity_factor/Q10</f>
        <v>0.00127088007581866</v>
      </c>
      <c r="AN10" s="220" t="n">
        <f aca="false">Algae_electricity_factor/R10</f>
        <v>0.00117068948041087</v>
      </c>
      <c r="AO10" s="220" t="n">
        <f aca="false">Algae_electricity_factor/S10</f>
        <v>0.00107511491320009</v>
      </c>
      <c r="AP10" s="220" t="n">
        <f aca="false">Algae_electricity_factor/T10</f>
        <v>0.00099396782328315</v>
      </c>
      <c r="AQ10" s="220" t="n">
        <f aca="false">Algae_electricity_factor/U10</f>
        <v>0.000931610512612718</v>
      </c>
      <c r="AR10" s="220" t="n">
        <f aca="false">Algae_electricity_factor/V10</f>
        <v>0.000887266184094636</v>
      </c>
      <c r="AS10" s="220" t="n">
        <f aca="false">Algae_electricity_factor/W10</f>
        <v>0.000857440916238549</v>
      </c>
      <c r="AT10" s="220" t="n">
        <f aca="false">Algae_electricity_factor/X10</f>
        <v>0.000838125523314049</v>
      </c>
      <c r="AU10" s="220" t="n">
        <f aca="false">Algae_electricity_factor/Y10</f>
        <v>0.000825921201990196</v>
      </c>
      <c r="AV10" s="220" t="n">
        <f aca="false">Algae_electricity_factor/Z10</f>
        <v>0.000818329719687152</v>
      </c>
      <c r="AW10" s="220" t="n">
        <f aca="false">Algae_electricity_factor/AA10</f>
        <v>0.000813653455846691</v>
      </c>
      <c r="AX10" s="220" t="n">
        <f aca="false">Algae_electricity_factor/AB10</f>
        <v>0.000810790237814226</v>
      </c>
      <c r="AY10" s="220" t="n">
        <f aca="false">Algae_electricity_factor/AC10</f>
        <v>0.00080904358896617</v>
      </c>
      <c r="AZ10" s="211" t="n">
        <f aca="false">Algae_yield_cost_factor/H10</f>
        <v>0.0892772001861266</v>
      </c>
      <c r="BA10" s="18" t="n">
        <f aca="false">Algae_yield_cost_factor/I10</f>
        <v>0.0892772001861266</v>
      </c>
      <c r="BB10" s="18" t="n">
        <f aca="false">Algae_yield_cost_factor/J10</f>
        <v>0.0892772001861266</v>
      </c>
      <c r="BC10" s="18" t="n">
        <f aca="false">Algae_yield_cost_factor/K10</f>
        <v>0.0892772001861266</v>
      </c>
      <c r="BD10" s="18" t="n">
        <f aca="false">Algae_yield_cost_factor/L10</f>
        <v>0.0892772001861266</v>
      </c>
      <c r="BE10" s="18" t="n">
        <f aca="false">Algae_yield_cost_factor/M10</f>
        <v>0.08523486241111</v>
      </c>
      <c r="BF10" s="18" t="n">
        <f aca="false">Algae_yield_cost_factor/N10</f>
        <v>0.0829823129516604</v>
      </c>
      <c r="BG10" s="18" t="n">
        <f aca="false">Algae_yield_cost_factor/O10</f>
        <v>0.0797685553079376</v>
      </c>
      <c r="BH10" s="18" t="n">
        <f aca="false">Algae_yield_cost_factor/P10</f>
        <v>0.0755034447317524</v>
      </c>
      <c r="BI10" s="18" t="n">
        <f aca="false">Algae_yield_cost_factor/Q10</f>
        <v>0.0703556513189866</v>
      </c>
      <c r="BJ10" s="18" t="n">
        <f aca="false">Algae_yield_cost_factor/R10</f>
        <v>0.0648091212174649</v>
      </c>
      <c r="BK10" s="18" t="n">
        <f aca="false">Algae_yield_cost_factor/S10</f>
        <v>0.0595181334574178</v>
      </c>
      <c r="BL10" s="18" t="n">
        <f aca="false">Algae_yield_cost_factor/T10</f>
        <v>0.0550258477788738</v>
      </c>
      <c r="BM10" s="18" t="n">
        <f aca="false">Algae_yield_cost_factor/U10</f>
        <v>0.0515737602922614</v>
      </c>
      <c r="BN10" s="18" t="n">
        <f aca="false">Algae_yield_cost_factor/V10</f>
        <v>0.0491188676752826</v>
      </c>
      <c r="BO10" s="18" t="n">
        <f aca="false">Algae_yield_cost_factor/W10</f>
        <v>0.0474677471756347</v>
      </c>
      <c r="BP10" s="18" t="n">
        <f aca="false">Algae_yield_cost_factor/X10</f>
        <v>0.046398451122024</v>
      </c>
      <c r="BQ10" s="18" t="n">
        <f aca="false">Algae_yield_cost_factor/Y10</f>
        <v>0.0457228224832693</v>
      </c>
      <c r="BR10" s="18" t="n">
        <f aca="false">Algae_yield_cost_factor/Z10</f>
        <v>0.0453025596338709</v>
      </c>
      <c r="BS10" s="18" t="n">
        <f aca="false">Algae_yield_cost_factor/AA10</f>
        <v>0.0450436826599572</v>
      </c>
      <c r="BT10" s="18" t="n">
        <f aca="false">Algae_yield_cost_factor/AB10</f>
        <v>0.0448851755172494</v>
      </c>
      <c r="BU10" s="18" t="n">
        <f aca="false">Algae_yield_cost_factor/AC10</f>
        <v>0.0447884814076566</v>
      </c>
    </row>
    <row r="11" customFormat="false" ht="15" hidden="false" customHeight="false" outlineLevel="0" collapsed="false">
      <c r="A11" s="18" t="s">
        <v>50</v>
      </c>
      <c r="B11" s="18" t="s">
        <v>22</v>
      </c>
      <c r="C11" s="18" t="s">
        <v>688</v>
      </c>
      <c r="D11" s="18" t="s">
        <v>688</v>
      </c>
      <c r="E11" s="185" t="n">
        <v>9</v>
      </c>
      <c r="F11" s="18" t="n">
        <f aca="false">E11/$B$2*$F$3/1000</f>
        <v>0.02205</v>
      </c>
      <c r="G11" s="18" t="n">
        <f aca="false">LOOKUP(RIGHT(D11,5),Ref!$C$4:$C$21,Ref!$E$4:$E$21)*$G$3</f>
        <v>4.5</v>
      </c>
      <c r="H11" s="222" t="n">
        <f aca="false">$E11</f>
        <v>9</v>
      </c>
      <c r="I11" s="185" t="n">
        <f aca="false">$E11</f>
        <v>9</v>
      </c>
      <c r="J11" s="185" t="n">
        <f aca="false">$E11</f>
        <v>9</v>
      </c>
      <c r="K11" s="185" t="n">
        <f aca="false">$E11</f>
        <v>9</v>
      </c>
      <c r="L11" s="185" t="n">
        <f aca="false">$E11</f>
        <v>9</v>
      </c>
      <c r="M11" s="185" t="n">
        <f aca="false">M$3*$E11</f>
        <v>9.4268328585981</v>
      </c>
      <c r="N11" s="185" t="n">
        <f aca="false">N$3*$E11</f>
        <v>9.68272362019119</v>
      </c>
      <c r="O11" s="185" t="n">
        <f aca="false">O$3*$E11</f>
        <v>10.0728262981991</v>
      </c>
      <c r="P11" s="185" t="n">
        <f aca="false">P$3*$E11</f>
        <v>10.6418297142572</v>
      </c>
      <c r="Q11" s="185" t="n">
        <f aca="false">Q$3*$E11</f>
        <v>11.42047279233</v>
      </c>
      <c r="R11" s="185" t="n">
        <f aca="false">R$3*$E11</f>
        <v>12.3978660191833</v>
      </c>
      <c r="S11" s="185" t="n">
        <f aca="false">S$3*$E11</f>
        <v>13.5</v>
      </c>
      <c r="T11" s="185" t="n">
        <f aca="false">T$3*$E11</f>
        <v>14.6021339808167</v>
      </c>
      <c r="U11" s="185" t="n">
        <f aca="false">U$3*$E11</f>
        <v>15.57952720767</v>
      </c>
      <c r="V11" s="185" t="n">
        <f aca="false">V$3*$E11</f>
        <v>16.3581702857428</v>
      </c>
      <c r="W11" s="185" t="n">
        <f aca="false">W$3*$E11</f>
        <v>16.9271737018009</v>
      </c>
      <c r="X11" s="185" t="n">
        <f aca="false">X$3*$E11</f>
        <v>17.3172763798088</v>
      </c>
      <c r="Y11" s="185" t="n">
        <f aca="false">Y$3*$E11</f>
        <v>17.5731671414019</v>
      </c>
      <c r="Z11" s="185" t="n">
        <f aca="false">Z$3*$E11</f>
        <v>17.7361899232378</v>
      </c>
      <c r="AA11" s="185" t="n">
        <f aca="false">AA$3*$E11</f>
        <v>17.8381241103412</v>
      </c>
      <c r="AB11" s="185" t="n">
        <f aca="false">AB$3*$E11</f>
        <v>17.9011175163247</v>
      </c>
      <c r="AC11" s="185" t="n">
        <f aca="false">AC$3*$E11</f>
        <v>17.9397643416814</v>
      </c>
      <c r="AD11" s="219" t="n">
        <f aca="false">Algae_electricity_factor/H11</f>
        <v>0.00152706634483658</v>
      </c>
      <c r="AE11" s="220" t="n">
        <f aca="false">Algae_electricity_factor/I11</f>
        <v>0.00152706634483658</v>
      </c>
      <c r="AF11" s="220" t="n">
        <f aca="false">Algae_electricity_factor/J11</f>
        <v>0.00152706634483658</v>
      </c>
      <c r="AG11" s="220" t="n">
        <f aca="false">Algae_electricity_factor/K11</f>
        <v>0.00152706634483658</v>
      </c>
      <c r="AH11" s="220" t="n">
        <f aca="false">Algae_electricity_factor/L11</f>
        <v>0.00152706634483658</v>
      </c>
      <c r="AI11" s="220" t="n">
        <f aca="false">Algae_electricity_factor/M11</f>
        <v>0.00145792307020633</v>
      </c>
      <c r="AJ11" s="220" t="n">
        <f aca="false">Algae_electricity_factor/N11</f>
        <v>0.00141939372046828</v>
      </c>
      <c r="AK11" s="220" t="n">
        <f aca="false">Algae_electricity_factor/O11</f>
        <v>0.00136442312183885</v>
      </c>
      <c r="AL11" s="220" t="n">
        <f aca="false">Algae_electricity_factor/P11</f>
        <v>0.00129146936876057</v>
      </c>
      <c r="AM11" s="220" t="n">
        <f aca="false">Algae_electricity_factor/Q11</f>
        <v>0.00120341752512729</v>
      </c>
      <c r="AN11" s="220" t="n">
        <f aca="false">Algae_electricity_factor/R11</f>
        <v>0.00110854538049239</v>
      </c>
      <c r="AO11" s="220" t="n">
        <f aca="false">Algae_electricity_factor/S11</f>
        <v>0.00101804422989106</v>
      </c>
      <c r="AP11" s="220" t="n">
        <f aca="false">Algae_electricity_factor/T11</f>
        <v>0.000941204697997202</v>
      </c>
      <c r="AQ11" s="220" t="n">
        <f aca="false">Algae_electricity_factor/U11</f>
        <v>0.00088215752123486</v>
      </c>
      <c r="AR11" s="220" t="n">
        <f aca="false">Algae_electricity_factor/V11</f>
        <v>0.000840167137488946</v>
      </c>
      <c r="AS11" s="220" t="n">
        <f aca="false">Algae_electricity_factor/W11</f>
        <v>0.00081192509426822</v>
      </c>
      <c r="AT11" s="220" t="n">
        <f aca="false">Algae_electricity_factor/X11</f>
        <v>0.000793635026784795</v>
      </c>
      <c r="AU11" s="220" t="n">
        <f aca="false">Algae_electricity_factor/Y11</f>
        <v>0.000782078551517883</v>
      </c>
      <c r="AV11" s="220" t="n">
        <f aca="false">Algae_electricity_factor/Z11</f>
        <v>0.000774890050400426</v>
      </c>
      <c r="AW11" s="220" t="n">
        <f aca="false">Algae_electricity_factor/AA11</f>
        <v>0.000770462018232162</v>
      </c>
      <c r="AX11" s="220" t="n">
        <f aca="false">Algae_electricity_factor/AB11</f>
        <v>0.000767750789356921</v>
      </c>
      <c r="AY11" s="220" t="n">
        <f aca="false">Algae_electricity_factor/AC11</f>
        <v>0.000766096858451883</v>
      </c>
      <c r="AZ11" s="211" t="n">
        <f aca="false">Algae_yield_cost_factor/H11</f>
        <v>0.0845380688095798</v>
      </c>
      <c r="BA11" s="18" t="n">
        <f aca="false">Algae_yield_cost_factor/I11</f>
        <v>0.0845380688095798</v>
      </c>
      <c r="BB11" s="18" t="n">
        <f aca="false">Algae_yield_cost_factor/J11</f>
        <v>0.0845380688095798</v>
      </c>
      <c r="BC11" s="18" t="n">
        <f aca="false">Algae_yield_cost_factor/K11</f>
        <v>0.0845380688095798</v>
      </c>
      <c r="BD11" s="18" t="n">
        <f aca="false">Algae_yield_cost_factor/L11</f>
        <v>0.0845380688095798</v>
      </c>
      <c r="BE11" s="18" t="n">
        <f aca="false">Algae_yield_cost_factor/M11</f>
        <v>0.0807103117981202</v>
      </c>
      <c r="BF11" s="18" t="n">
        <f aca="false">Algae_yield_cost_factor/N11</f>
        <v>0.0785773351724765</v>
      </c>
      <c r="BG11" s="18" t="n">
        <f aca="false">Algae_yield_cost_factor/O11</f>
        <v>0.0755341744970079</v>
      </c>
      <c r="BH11" s="18" t="n">
        <f aca="false">Algae_yield_cost_factor/P11</f>
        <v>0.0714954702072419</v>
      </c>
      <c r="BI11" s="18" t="n">
        <f aca="false">Algae_yield_cost_factor/Q11</f>
        <v>0.0666209388281371</v>
      </c>
      <c r="BJ11" s="18" t="n">
        <f aca="false">Algae_yield_cost_factor/R11</f>
        <v>0.0613688370328378</v>
      </c>
      <c r="BK11" s="18" t="n">
        <f aca="false">Algae_yield_cost_factor/S11</f>
        <v>0.0563587125397198</v>
      </c>
      <c r="BL11" s="18" t="n">
        <f aca="false">Algae_yield_cost_factor/T11</f>
        <v>0.0521048923592786</v>
      </c>
      <c r="BM11" s="18" t="n">
        <f aca="false">Algae_yield_cost_factor/U11</f>
        <v>0.0488360531834139</v>
      </c>
      <c r="BN11" s="18" t="n">
        <f aca="false">Algae_yield_cost_factor/V11</f>
        <v>0.0465114744495197</v>
      </c>
      <c r="BO11" s="18" t="n">
        <f aca="false">Algae_yield_cost_factor/W11</f>
        <v>0.0449480009297281</v>
      </c>
      <c r="BP11" s="18" t="n">
        <f aca="false">Algae_yield_cost_factor/X11</f>
        <v>0.0439354666749632</v>
      </c>
      <c r="BQ11" s="18" t="n">
        <f aca="false">Algae_yield_cost_factor/Y11</f>
        <v>0.0432957026564491</v>
      </c>
      <c r="BR11" s="18" t="n">
        <f aca="false">Algae_yield_cost_factor/Z11</f>
        <v>0.0428977487599729</v>
      </c>
      <c r="BS11" s="18" t="n">
        <f aca="false">Algae_yield_cost_factor/AA11</f>
        <v>0.0426526138387578</v>
      </c>
      <c r="BT11" s="18" t="n">
        <f aca="false">Algae_yield_cost_factor/AB11</f>
        <v>0.0425025207835421</v>
      </c>
      <c r="BU11" s="18" t="n">
        <f aca="false">Algae_yield_cost_factor/AC11</f>
        <v>0.0424109595196002</v>
      </c>
    </row>
    <row r="12" customFormat="false" ht="15" hidden="false" customHeight="false" outlineLevel="0" collapsed="false">
      <c r="A12" s="18" t="s">
        <v>689</v>
      </c>
      <c r="B12" s="18" t="s">
        <v>22</v>
      </c>
      <c r="C12" s="18" t="s">
        <v>690</v>
      </c>
      <c r="D12" s="18" t="s">
        <v>690</v>
      </c>
      <c r="E12" s="185" t="n">
        <v>8.73675</v>
      </c>
      <c r="F12" s="18" t="n">
        <f aca="false">E12/$B$2*$F$3/1000</f>
        <v>0.0214050375</v>
      </c>
      <c r="G12" s="18" t="n">
        <f aca="false">LOOKUP(RIGHT(D12,5),Ref!$C$4:$C$21,Ref!$E$4:$E$21)*$G$3</f>
        <v>1.5</v>
      </c>
      <c r="H12" s="222" t="n">
        <f aca="false">$E12</f>
        <v>8.73675</v>
      </c>
      <c r="I12" s="185" t="n">
        <f aca="false">$E12</f>
        <v>8.73675</v>
      </c>
      <c r="J12" s="185" t="n">
        <f aca="false">$E12</f>
        <v>8.73675</v>
      </c>
      <c r="K12" s="185" t="n">
        <f aca="false">$E12</f>
        <v>8.73675</v>
      </c>
      <c r="L12" s="185" t="n">
        <f aca="false">$E12</f>
        <v>8.73675</v>
      </c>
      <c r="M12" s="185" t="n">
        <f aca="false">M$3*$E12</f>
        <v>9.1510979974841</v>
      </c>
      <c r="N12" s="185" t="n">
        <f aca="false">N$3*$E12</f>
        <v>9.3995039543006</v>
      </c>
      <c r="O12" s="185" t="n">
        <f aca="false">O$3*$E12</f>
        <v>9.77819612897673</v>
      </c>
      <c r="P12" s="185" t="n">
        <f aca="false">P$3*$E12</f>
        <v>10.3305561951152</v>
      </c>
      <c r="Q12" s="185" t="n">
        <f aca="false">Q$3*$E12</f>
        <v>11.0864239631543</v>
      </c>
      <c r="R12" s="185" t="n">
        <f aca="false">R$3*$E12</f>
        <v>12.0352284381222</v>
      </c>
      <c r="S12" s="185" t="n">
        <f aca="false">S$3*$E12</f>
        <v>13.105125</v>
      </c>
      <c r="T12" s="185" t="n">
        <f aca="false">T$3*$E12</f>
        <v>14.1750215618778</v>
      </c>
      <c r="U12" s="185" t="n">
        <f aca="false">U$3*$E12</f>
        <v>15.1238260368457</v>
      </c>
      <c r="V12" s="185" t="n">
        <f aca="false">V$3*$E12</f>
        <v>15.8796938048848</v>
      </c>
      <c r="W12" s="185" t="n">
        <f aca="false">W$3*$E12</f>
        <v>16.4320538710233</v>
      </c>
      <c r="X12" s="185" t="n">
        <f aca="false">X$3*$E12</f>
        <v>16.8107460456994</v>
      </c>
      <c r="Y12" s="185" t="n">
        <f aca="false">Y$3*$E12</f>
        <v>17.0591520025159</v>
      </c>
      <c r="Z12" s="185" t="n">
        <f aca="false">Z$3*$E12</f>
        <v>17.2174063679831</v>
      </c>
      <c r="AA12" s="185" t="n">
        <f aca="false">AA$3*$E12</f>
        <v>17.3163589801137</v>
      </c>
      <c r="AB12" s="185" t="n">
        <f aca="false">AB$3*$E12</f>
        <v>17.3775098289722</v>
      </c>
      <c r="AC12" s="185" t="n">
        <f aca="false">AC$3*$E12</f>
        <v>17.4150262346873</v>
      </c>
      <c r="AD12" s="219" t="n">
        <f aca="false">Algae_electricity_factor/H12</f>
        <v>0.00157307890274178</v>
      </c>
      <c r="AE12" s="220" t="n">
        <f aca="false">Algae_electricity_factor/I12</f>
        <v>0.00157307890274178</v>
      </c>
      <c r="AF12" s="220" t="n">
        <f aca="false">Algae_electricity_factor/J12</f>
        <v>0.00157307890274178</v>
      </c>
      <c r="AG12" s="220" t="n">
        <f aca="false">Algae_electricity_factor/K12</f>
        <v>0.00157307890274178</v>
      </c>
      <c r="AH12" s="220" t="n">
        <f aca="false">Algae_electricity_factor/L12</f>
        <v>0.00157307890274178</v>
      </c>
      <c r="AI12" s="220" t="n">
        <f aca="false">Algae_electricity_factor/M12</f>
        <v>0.0015018522484742</v>
      </c>
      <c r="AJ12" s="220" t="n">
        <f aca="false">Algae_electricity_factor/N12</f>
        <v>0.00146216195773194</v>
      </c>
      <c r="AK12" s="220" t="n">
        <f aca="false">Algae_electricity_factor/O12</f>
        <v>0.00140553502120922</v>
      </c>
      <c r="AL12" s="220" t="n">
        <f aca="false">Algae_electricity_factor/P12</f>
        <v>0.00133038307366528</v>
      </c>
      <c r="AM12" s="220" t="n">
        <f aca="false">Algae_electricity_factor/Q12</f>
        <v>0.00123967810984011</v>
      </c>
      <c r="AN12" s="220" t="n">
        <f aca="false">Algae_electricity_factor/R12</f>
        <v>0.00114194734019304</v>
      </c>
      <c r="AO12" s="220" t="n">
        <f aca="false">Algae_electricity_factor/S12</f>
        <v>0.00104871926849452</v>
      </c>
      <c r="AP12" s="220" t="n">
        <f aca="false">Algae_electricity_factor/T12</f>
        <v>0.000969564458405565</v>
      </c>
      <c r="AQ12" s="220" t="n">
        <f aca="false">Algae_electricity_factor/U12</f>
        <v>0.000908738110981056</v>
      </c>
      <c r="AR12" s="220" t="n">
        <f aca="false">Algae_electricity_factor/V12</f>
        <v>0.000865482500632445</v>
      </c>
      <c r="AS12" s="220" t="n">
        <f aca="false">Algae_electricity_factor/W12</f>
        <v>0.000836389486755828</v>
      </c>
      <c r="AT12" s="220" t="n">
        <f aca="false">Algae_electricity_factor/X12</f>
        <v>0.000817548314998501</v>
      </c>
      <c r="AU12" s="220" t="n">
        <f aca="false">Algae_electricity_factor/Y12</f>
        <v>0.000805643627625942</v>
      </c>
      <c r="AV12" s="220" t="n">
        <f aca="false">Algae_electricity_factor/Z12</f>
        <v>0.000798238527324673</v>
      </c>
      <c r="AW12" s="220" t="n">
        <f aca="false">Algae_electricity_factor/AA12</f>
        <v>0.000793677072605885</v>
      </c>
      <c r="AX12" s="220" t="n">
        <f aca="false">Algae_electricity_factor/AB12</f>
        <v>0.000790884150766851</v>
      </c>
      <c r="AY12" s="220" t="n">
        <f aca="false">Algae_electricity_factor/AC12</f>
        <v>0.000789180384704489</v>
      </c>
      <c r="AZ12" s="211" t="n">
        <f aca="false">Algae_yield_cost_factor/H12</f>
        <v>0.0870853142514342</v>
      </c>
      <c r="BA12" s="18" t="n">
        <f aca="false">Algae_yield_cost_factor/I12</f>
        <v>0.0870853142514342</v>
      </c>
      <c r="BB12" s="18" t="n">
        <f aca="false">Algae_yield_cost_factor/J12</f>
        <v>0.0870853142514342</v>
      </c>
      <c r="BC12" s="18" t="n">
        <f aca="false">Algae_yield_cost_factor/K12</f>
        <v>0.0870853142514342</v>
      </c>
      <c r="BD12" s="18" t="n">
        <f aca="false">Algae_yield_cost_factor/L12</f>
        <v>0.0870853142514342</v>
      </c>
      <c r="BE12" s="18" t="n">
        <f aca="false">Algae_yield_cost_factor/M12</f>
        <v>0.0831422217853415</v>
      </c>
      <c r="BF12" s="18" t="n">
        <f aca="false">Algae_yield_cost_factor/N12</f>
        <v>0.080944975712054</v>
      </c>
      <c r="BG12" s="18" t="n">
        <f aca="false">Algae_yield_cost_factor/O12</f>
        <v>0.0778101205222847</v>
      </c>
      <c r="BH12" s="18" t="n">
        <f aca="false">Algae_yield_cost_factor/P12</f>
        <v>0.0736497246533525</v>
      </c>
      <c r="BI12" s="18" t="n">
        <f aca="false">Algae_yield_cost_factor/Q12</f>
        <v>0.0686283171034119</v>
      </c>
      <c r="BJ12" s="18" t="n">
        <f aca="false">Algae_yield_cost_factor/R12</f>
        <v>0.0632179624340333</v>
      </c>
      <c r="BK12" s="18" t="n">
        <f aca="false">Algae_yield_cost_factor/S12</f>
        <v>0.0580568761676228</v>
      </c>
      <c r="BL12" s="18" t="n">
        <f aca="false">Algae_yield_cost_factor/T12</f>
        <v>0.0536748826775983</v>
      </c>
      <c r="BM12" s="18" t="n">
        <f aca="false">Algae_yield_cost_factor/U12</f>
        <v>0.0503075489914127</v>
      </c>
      <c r="BN12" s="18" t="n">
        <f aca="false">Algae_yield_cost_factor/V12</f>
        <v>0.0479129275812719</v>
      </c>
      <c r="BO12" s="18" t="n">
        <f aca="false">Algae_yield_cost_factor/W12</f>
        <v>0.0463023445065445</v>
      </c>
      <c r="BP12" s="18" t="n">
        <f aca="false">Algae_yield_cost_factor/X12</f>
        <v>0.0452593012361197</v>
      </c>
      <c r="BQ12" s="18" t="n">
        <f aca="false">Algae_yield_cost_factor/Y12</f>
        <v>0.0446002602693269</v>
      </c>
      <c r="BR12" s="18" t="n">
        <f aca="false">Algae_yield_cost_factor/Z12</f>
        <v>0.0441903154879968</v>
      </c>
      <c r="BS12" s="18" t="n">
        <f aca="false">Algae_yield_cost_factor/AA12</f>
        <v>0.0439377943226967</v>
      </c>
      <c r="BT12" s="18" t="n">
        <f aca="false">Algae_yield_cost_factor/AB12</f>
        <v>0.0437831787623405</v>
      </c>
      <c r="BU12" s="18" t="n">
        <f aca="false">Algae_yield_cost_factor/AC12</f>
        <v>0.0436888586346641</v>
      </c>
    </row>
    <row r="13" customFormat="false" ht="15" hidden="false" customHeight="false" outlineLevel="0" collapsed="false">
      <c r="A13" s="18" t="s">
        <v>689</v>
      </c>
      <c r="B13" s="18" t="s">
        <v>22</v>
      </c>
      <c r="C13" s="18" t="s">
        <v>691</v>
      </c>
      <c r="D13" s="18" t="s">
        <v>691</v>
      </c>
      <c r="E13" s="185" t="n">
        <v>9.0585</v>
      </c>
      <c r="F13" s="18" t="n">
        <f aca="false">E13/$B$2*$F$3/1000</f>
        <v>0.022193325</v>
      </c>
      <c r="G13" s="18" t="n">
        <f aca="false">LOOKUP(RIGHT(D13,5),Ref!$C$4:$C$21,Ref!$E$4:$E$21)*$G$3</f>
        <v>2</v>
      </c>
      <c r="H13" s="222" t="n">
        <f aca="false">$E13</f>
        <v>9.0585</v>
      </c>
      <c r="I13" s="185" t="n">
        <f aca="false">$E13</f>
        <v>9.0585</v>
      </c>
      <c r="J13" s="185" t="n">
        <f aca="false">$E13</f>
        <v>9.0585</v>
      </c>
      <c r="K13" s="185" t="n">
        <f aca="false">$E13</f>
        <v>9.0585</v>
      </c>
      <c r="L13" s="185" t="n">
        <f aca="false">$E13</f>
        <v>9.0585</v>
      </c>
      <c r="M13" s="185" t="n">
        <f aca="false">M$3*$E13</f>
        <v>9.48810727217899</v>
      </c>
      <c r="N13" s="185" t="n">
        <f aca="false">N$3*$E13</f>
        <v>9.74566132372243</v>
      </c>
      <c r="O13" s="185" t="n">
        <f aca="false">O$3*$E13</f>
        <v>10.1382996691374</v>
      </c>
      <c r="P13" s="185" t="n">
        <f aca="false">P$3*$E13</f>
        <v>10.7110016073999</v>
      </c>
      <c r="Q13" s="185" t="n">
        <f aca="false">Q$3*$E13</f>
        <v>11.4947058654801</v>
      </c>
      <c r="R13" s="185" t="n">
        <f aca="false">R$3*$E13</f>
        <v>12.478452148308</v>
      </c>
      <c r="S13" s="185" t="n">
        <f aca="false">S$3*$E13</f>
        <v>13.58775</v>
      </c>
      <c r="T13" s="185" t="n">
        <f aca="false">T$3*$E13</f>
        <v>14.697047851692</v>
      </c>
      <c r="U13" s="185" t="n">
        <f aca="false">U$3*$E13</f>
        <v>15.6807941345199</v>
      </c>
      <c r="V13" s="185" t="n">
        <f aca="false">V$3*$E13</f>
        <v>16.4644983926001</v>
      </c>
      <c r="W13" s="185" t="n">
        <f aca="false">W$3*$E13</f>
        <v>17.0372003308626</v>
      </c>
      <c r="X13" s="185" t="n">
        <f aca="false">X$3*$E13</f>
        <v>17.4298386762776</v>
      </c>
      <c r="Y13" s="185" t="n">
        <f aca="false">Y$3*$E13</f>
        <v>17.687392727821</v>
      </c>
      <c r="Z13" s="185" t="n">
        <f aca="false">Z$3*$E13</f>
        <v>17.8514751577388</v>
      </c>
      <c r="AA13" s="185" t="n">
        <f aca="false">AA$3*$E13</f>
        <v>17.9540719170584</v>
      </c>
      <c r="AB13" s="185" t="n">
        <f aca="false">AB$3*$E13</f>
        <v>18.0174747801808</v>
      </c>
      <c r="AC13" s="185" t="n">
        <f aca="false">AC$3*$E13</f>
        <v>18.0563728099024</v>
      </c>
      <c r="AD13" s="219" t="n">
        <f aca="false">Algae_electricity_factor/H13</f>
        <v>0.00151720451548593</v>
      </c>
      <c r="AE13" s="220" t="n">
        <f aca="false">Algae_electricity_factor/I13</f>
        <v>0.00151720451548593</v>
      </c>
      <c r="AF13" s="220" t="n">
        <f aca="false">Algae_electricity_factor/J13</f>
        <v>0.00151720451548593</v>
      </c>
      <c r="AG13" s="220" t="n">
        <f aca="false">Algae_electricity_factor/K13</f>
        <v>0.00151720451548593</v>
      </c>
      <c r="AH13" s="220" t="n">
        <f aca="false">Algae_electricity_factor/L13</f>
        <v>0.00151720451548593</v>
      </c>
      <c r="AI13" s="220" t="n">
        <f aca="false">Algae_electricity_factor/M13</f>
        <v>0.00144850776970326</v>
      </c>
      <c r="AJ13" s="220" t="n">
        <f aca="false">Algae_electricity_factor/N13</f>
        <v>0.00141022724338627</v>
      </c>
      <c r="AK13" s="220" t="n">
        <f aca="false">Algae_electricity_factor/O13</f>
        <v>0.00135561164613895</v>
      </c>
      <c r="AL13" s="220" t="n">
        <f aca="false">Algae_electricity_factor/P13</f>
        <v>0.00128312903006515</v>
      </c>
      <c r="AM13" s="220" t="n">
        <f aca="false">Algae_electricity_factor/Q13</f>
        <v>0.00119564582725016</v>
      </c>
      <c r="AN13" s="220" t="n">
        <f aca="false">Algae_electricity_factor/R13</f>
        <v>0.00110138636909329</v>
      </c>
      <c r="AO13" s="220" t="n">
        <f aca="false">Algae_electricity_factor/S13</f>
        <v>0.00101146967699062</v>
      </c>
      <c r="AP13" s="220" t="n">
        <f aca="false">Algae_electricity_factor/T13</f>
        <v>0.00093512637654963</v>
      </c>
      <c r="AQ13" s="220" t="n">
        <f aca="false">Algae_electricity_factor/U13</f>
        <v>0.000876460527804133</v>
      </c>
      <c r="AR13" s="220" t="n">
        <f aca="false">Algae_electricity_factor/V13</f>
        <v>0.000834741318915992</v>
      </c>
      <c r="AS13" s="220" t="n">
        <f aca="false">Algae_electricity_factor/W13</f>
        <v>0.000806681663455757</v>
      </c>
      <c r="AT13" s="220" t="n">
        <f aca="false">Algae_electricity_factor/X13</f>
        <v>0.000788509713646095</v>
      </c>
      <c r="AU13" s="220" t="n">
        <f aca="false">Algae_electricity_factor/Y13</f>
        <v>0.00077702787036054</v>
      </c>
      <c r="AV13" s="220" t="n">
        <f aca="false">Algae_electricity_factor/Z13</f>
        <v>0.000769885792747567</v>
      </c>
      <c r="AW13" s="220" t="n">
        <f aca="false">Algae_electricity_factor/AA13</f>
        <v>0.000765486356912233</v>
      </c>
      <c r="AX13" s="220" t="n">
        <f aca="false">Algae_electricity_factor/AB13</f>
        <v>0.000762792637215023</v>
      </c>
      <c r="AY13" s="220" t="n">
        <f aca="false">Algae_electricity_factor/AC13</f>
        <v>0.000761149387433565</v>
      </c>
      <c r="AZ13" s="211" t="n">
        <f aca="false">Algae_yield_cost_factor/H13</f>
        <v>0.0839921200293887</v>
      </c>
      <c r="BA13" s="18" t="n">
        <f aca="false">Algae_yield_cost_factor/I13</f>
        <v>0.0839921200293887</v>
      </c>
      <c r="BB13" s="18" t="n">
        <f aca="false">Algae_yield_cost_factor/J13</f>
        <v>0.0839921200293887</v>
      </c>
      <c r="BC13" s="18" t="n">
        <f aca="false">Algae_yield_cost_factor/K13</f>
        <v>0.0839921200293887</v>
      </c>
      <c r="BD13" s="18" t="n">
        <f aca="false">Algae_yield_cost_factor/L13</f>
        <v>0.0839921200293887</v>
      </c>
      <c r="BE13" s="18" t="n">
        <f aca="false">Algae_yield_cost_factor/M13</f>
        <v>0.0801890827601791</v>
      </c>
      <c r="BF13" s="18" t="n">
        <f aca="false">Algae_yield_cost_factor/N13</f>
        <v>0.0780698809463253</v>
      </c>
      <c r="BG13" s="18" t="n">
        <f aca="false">Algae_yield_cost_factor/O13</f>
        <v>0.0750463730720396</v>
      </c>
      <c r="BH13" s="18" t="n">
        <f aca="false">Algae_yield_cost_factor/P13</f>
        <v>0.0710337508268673</v>
      </c>
      <c r="BI13" s="18" t="n">
        <f aca="false">Algae_yield_cost_factor/Q13</f>
        <v>0.0661906992827989</v>
      </c>
      <c r="BJ13" s="18" t="n">
        <f aca="false">Algae_yield_cost_factor/R13</f>
        <v>0.0609725156809119</v>
      </c>
      <c r="BK13" s="18" t="n">
        <f aca="false">Algae_yield_cost_factor/S13</f>
        <v>0.0559947466862592</v>
      </c>
      <c r="BL13" s="18" t="n">
        <f aca="false">Algae_yield_cost_factor/T13</f>
        <v>0.0517683977737492</v>
      </c>
      <c r="BM13" s="18" t="n">
        <f aca="false">Algae_yield_cost_factor/U13</f>
        <v>0.04852066883598</v>
      </c>
      <c r="BN13" s="18" t="n">
        <f aca="false">Algae_yield_cost_factor/V13</f>
        <v>0.0462111022846693</v>
      </c>
      <c r="BO13" s="18" t="n">
        <f aca="false">Algae_yield_cost_factor/W13</f>
        <v>0.0446577257125962</v>
      </c>
      <c r="BP13" s="18" t="n">
        <f aca="false">Algae_yield_cost_factor/X13</f>
        <v>0.0436517304271865</v>
      </c>
      <c r="BQ13" s="18" t="n">
        <f aca="false">Algae_yield_cost_factor/Y13</f>
        <v>0.0430160980193235</v>
      </c>
      <c r="BR13" s="18" t="n">
        <f aca="false">Algae_yield_cost_factor/Z13</f>
        <v>0.0426207141182046</v>
      </c>
      <c r="BS13" s="18" t="n">
        <f aca="false">Algae_yield_cost_factor/AA13</f>
        <v>0.0423771622839124</v>
      </c>
      <c r="BT13" s="18" t="n">
        <f aca="false">Algae_yield_cost_factor/AB13</f>
        <v>0.0422280385330771</v>
      </c>
      <c r="BU13" s="18" t="n">
        <f aca="false">Algae_yield_cost_factor/AC13</f>
        <v>0.04213706857387</v>
      </c>
    </row>
    <row r="14" customFormat="false" ht="15" hidden="false" customHeight="false" outlineLevel="0" collapsed="false">
      <c r="A14" s="18" t="s">
        <v>689</v>
      </c>
      <c r="B14" s="18" t="s">
        <v>22</v>
      </c>
      <c r="C14" s="18" t="s">
        <v>692</v>
      </c>
      <c r="D14" s="18" t="s">
        <v>692</v>
      </c>
      <c r="E14" s="185" t="n">
        <v>8.877</v>
      </c>
      <c r="F14" s="18" t="n">
        <f aca="false">E14/$B$2*$F$3/1000</f>
        <v>0.02174865</v>
      </c>
      <c r="G14" s="18" t="n">
        <f aca="false">LOOKUP(RIGHT(D14,5),Ref!$C$4:$C$21,Ref!$E$4:$E$21)*$G$3</f>
        <v>2.5</v>
      </c>
      <c r="H14" s="222" t="n">
        <f aca="false">$E14</f>
        <v>8.877</v>
      </c>
      <c r="I14" s="185" t="n">
        <f aca="false">$E14</f>
        <v>8.877</v>
      </c>
      <c r="J14" s="185" t="n">
        <f aca="false">$E14</f>
        <v>8.877</v>
      </c>
      <c r="K14" s="185" t="n">
        <f aca="false">$E14</f>
        <v>8.877</v>
      </c>
      <c r="L14" s="185" t="n">
        <f aca="false">$E14</f>
        <v>8.877</v>
      </c>
      <c r="M14" s="185" t="n">
        <f aca="false">M$3*$E14</f>
        <v>9.29799947619726</v>
      </c>
      <c r="N14" s="185" t="n">
        <f aca="false">N$3*$E14</f>
        <v>9.55039306404858</v>
      </c>
      <c r="O14" s="185" t="n">
        <f aca="false">O$3*$E14</f>
        <v>9.93516433879034</v>
      </c>
      <c r="P14" s="185" t="n">
        <f aca="false">P$3*$E14</f>
        <v>10.496391374829</v>
      </c>
      <c r="Q14" s="185" t="n">
        <f aca="false">Q$3*$E14</f>
        <v>11.2643929975014</v>
      </c>
      <c r="R14" s="185" t="n">
        <f aca="false">R$3*$E14</f>
        <v>12.2284285169211</v>
      </c>
      <c r="S14" s="185" t="n">
        <f aca="false">S$3*$E14</f>
        <v>13.3155</v>
      </c>
      <c r="T14" s="185" t="n">
        <f aca="false">T$3*$E14</f>
        <v>14.4025714830789</v>
      </c>
      <c r="U14" s="185" t="n">
        <f aca="false">U$3*$E14</f>
        <v>15.3666070024986</v>
      </c>
      <c r="V14" s="185" t="n">
        <f aca="false">V$3*$E14</f>
        <v>16.134608625171</v>
      </c>
      <c r="W14" s="185" t="n">
        <f aca="false">W$3*$E14</f>
        <v>16.6958356612097</v>
      </c>
      <c r="X14" s="185" t="n">
        <f aca="false">X$3*$E14</f>
        <v>17.0806069359514</v>
      </c>
      <c r="Y14" s="185" t="n">
        <f aca="false">Y$3*$E14</f>
        <v>17.3330005238027</v>
      </c>
      <c r="Z14" s="185" t="n">
        <f aca="false">Z$3*$E14</f>
        <v>17.4937953276202</v>
      </c>
      <c r="AA14" s="185" t="n">
        <f aca="false">AA$3*$E14</f>
        <v>17.5943364141665</v>
      </c>
      <c r="AB14" s="185" t="n">
        <f aca="false">AB$3*$E14</f>
        <v>17.6564689102682</v>
      </c>
      <c r="AC14" s="185" t="n">
        <f aca="false">AC$3*$E14</f>
        <v>17.6945875623451</v>
      </c>
      <c r="AD14" s="219" t="n">
        <f aca="false">Algae_electricity_factor/H14</f>
        <v>0.00154822542565385</v>
      </c>
      <c r="AE14" s="220" t="n">
        <f aca="false">Algae_electricity_factor/I14</f>
        <v>0.00154822542565385</v>
      </c>
      <c r="AF14" s="220" t="n">
        <f aca="false">Algae_electricity_factor/J14</f>
        <v>0.00154822542565385</v>
      </c>
      <c r="AG14" s="220" t="n">
        <f aca="false">Algae_electricity_factor/K14</f>
        <v>0.00154822542565385</v>
      </c>
      <c r="AH14" s="220" t="n">
        <f aca="false">Algae_electricity_factor/L14</f>
        <v>0.00154822542565385</v>
      </c>
      <c r="AI14" s="220" t="n">
        <f aca="false">Algae_electricity_factor/M14</f>
        <v>0.00147812409956708</v>
      </c>
      <c r="AJ14" s="220" t="n">
        <f aca="false">Algae_electricity_factor/N14</f>
        <v>0.00143906088590904</v>
      </c>
      <c r="AK14" s="220" t="n">
        <f aca="false">Algae_electricity_factor/O14</f>
        <v>0.00138332861288157</v>
      </c>
      <c r="AL14" s="220" t="n">
        <f aca="false">Algae_electricity_factor/P14</f>
        <v>0.00130936401023377</v>
      </c>
      <c r="AM14" s="220" t="n">
        <f aca="false">Algae_electricity_factor/Q14</f>
        <v>0.0012200921173984</v>
      </c>
      <c r="AN14" s="220" t="n">
        <f aca="false">Algae_electricity_factor/R14</f>
        <v>0.00112390542124947</v>
      </c>
      <c r="AO14" s="220" t="n">
        <f aca="false">Algae_electricity_factor/S14</f>
        <v>0.00103215028376924</v>
      </c>
      <c r="AP14" s="220" t="n">
        <f aca="false">Algae_electricity_factor/T14</f>
        <v>0.000954246060828525</v>
      </c>
      <c r="AQ14" s="220" t="n">
        <f aca="false">Algae_electricity_factor/U14</f>
        <v>0.000894380724469273</v>
      </c>
      <c r="AR14" s="220" t="n">
        <f aca="false">Algae_electricity_factor/V14</f>
        <v>0.000851808520603866</v>
      </c>
      <c r="AS14" s="220" t="n">
        <f aca="false">Algae_electricity_factor/W14</f>
        <v>0.000823175154716005</v>
      </c>
      <c r="AT14" s="220" t="n">
        <f aca="false">Algae_electricity_factor/X14</f>
        <v>0.000804631659464138</v>
      </c>
      <c r="AU14" s="220" t="n">
        <f aca="false">Algae_electricity_factor/Y14</f>
        <v>0.000792915057300997</v>
      </c>
      <c r="AV14" s="220" t="n">
        <f aca="false">Algae_electricity_factor/Z14</f>
        <v>0.000785626952078837</v>
      </c>
      <c r="AW14" s="220" t="n">
        <f aca="false">Algae_electricity_factor/AA14</f>
        <v>0.000781137564953189</v>
      </c>
      <c r="AX14" s="220" t="n">
        <f aca="false">Algae_electricity_factor/AB14</f>
        <v>0.000778388769202691</v>
      </c>
      <c r="AY14" s="220" t="n">
        <f aca="false">Algae_electricity_factor/AC14</f>
        <v>0.000776711921377374</v>
      </c>
      <c r="AZ14" s="211" t="n">
        <f aca="false">Algae_yield_cost_factor/H14</f>
        <v>0.0857094310337071</v>
      </c>
      <c r="BA14" s="18" t="n">
        <f aca="false">Algae_yield_cost_factor/I14</f>
        <v>0.0857094310337071</v>
      </c>
      <c r="BB14" s="18" t="n">
        <f aca="false">Algae_yield_cost_factor/J14</f>
        <v>0.0857094310337071</v>
      </c>
      <c r="BC14" s="18" t="n">
        <f aca="false">Algae_yield_cost_factor/K14</f>
        <v>0.0857094310337071</v>
      </c>
      <c r="BD14" s="18" t="n">
        <f aca="false">Algae_yield_cost_factor/L14</f>
        <v>0.0857094310337071</v>
      </c>
      <c r="BE14" s="18" t="n">
        <f aca="false">Algae_yield_cost_factor/M14</f>
        <v>0.0818286364969114</v>
      </c>
      <c r="BF14" s="18" t="n">
        <f aca="false">Algae_yield_cost_factor/N14</f>
        <v>0.0796661052779416</v>
      </c>
      <c r="BG14" s="18" t="n">
        <f aca="false">Algae_yield_cost_factor/O14</f>
        <v>0.0765807784694233</v>
      </c>
      <c r="BH14" s="18" t="n">
        <f aca="false">Algae_yield_cost_factor/P14</f>
        <v>0.0724861137619891</v>
      </c>
      <c r="BI14" s="18" t="n">
        <f aca="false">Algae_yield_cost_factor/Q14</f>
        <v>0.067544040717949</v>
      </c>
      <c r="BJ14" s="18" t="n">
        <f aca="false">Algae_yield_cost_factor/R14</f>
        <v>0.0622191656297781</v>
      </c>
      <c r="BK14" s="18" t="n">
        <f aca="false">Algae_yield_cost_factor/S14</f>
        <v>0.0571396206891381</v>
      </c>
      <c r="BL14" s="18" t="n">
        <f aca="false">Algae_yield_cost_factor/T14</f>
        <v>0.0528268594382682</v>
      </c>
      <c r="BM14" s="18" t="n">
        <f aca="false">Algae_yield_cost_factor/U14</f>
        <v>0.0495127271207305</v>
      </c>
      <c r="BN14" s="18" t="n">
        <f aca="false">Algae_yield_cost_factor/V14</f>
        <v>0.0471559389484823</v>
      </c>
      <c r="BO14" s="18" t="n">
        <f aca="false">Algae_yield_cost_factor/W14</f>
        <v>0.0455708018888761</v>
      </c>
      <c r="BP14" s="18" t="n">
        <f aca="false">Algae_yield_cost_factor/X14</f>
        <v>0.0445442379266271</v>
      </c>
      <c r="BQ14" s="18" t="n">
        <f aca="false">Algae_yield_cost_factor/Y14</f>
        <v>0.0438956093171163</v>
      </c>
      <c r="BR14" s="18" t="n">
        <f aca="false">Algae_yield_cost_factor/Z14</f>
        <v>0.0434921413585396</v>
      </c>
      <c r="BS14" s="18" t="n">
        <f aca="false">Algae_yield_cost_factor/AA14</f>
        <v>0.0432436098399032</v>
      </c>
      <c r="BT14" s="18" t="n">
        <f aca="false">Algae_yield_cost_factor/AB14</f>
        <v>0.0430914370904448</v>
      </c>
      <c r="BU14" s="18" t="n">
        <f aca="false">Algae_yield_cost_factor/AC14</f>
        <v>0.0429986071506592</v>
      </c>
    </row>
    <row r="15" customFormat="false" ht="15" hidden="false" customHeight="false" outlineLevel="0" collapsed="false">
      <c r="A15" s="18" t="s">
        <v>689</v>
      </c>
      <c r="B15" s="18" t="s">
        <v>22</v>
      </c>
      <c r="C15" s="18" t="s">
        <v>693</v>
      </c>
      <c r="D15" s="18" t="s">
        <v>693</v>
      </c>
      <c r="E15" s="185" t="n">
        <v>7.7715</v>
      </c>
      <c r="F15" s="18" t="n">
        <f aca="false">E15/$B$2*$F$3/1000</f>
        <v>0.019040175</v>
      </c>
      <c r="G15" s="18" t="n">
        <f aca="false">LOOKUP(RIGHT(D15,5),Ref!$C$4:$C$21,Ref!$E$4:$E$21)*$G$3</f>
        <v>3</v>
      </c>
      <c r="H15" s="222" t="n">
        <f aca="false">$E15</f>
        <v>7.7715</v>
      </c>
      <c r="I15" s="185" t="n">
        <f aca="false">$E15</f>
        <v>7.7715</v>
      </c>
      <c r="J15" s="185" t="n">
        <f aca="false">$E15</f>
        <v>7.7715</v>
      </c>
      <c r="K15" s="185" t="n">
        <f aca="false">$E15</f>
        <v>7.7715</v>
      </c>
      <c r="L15" s="185" t="n">
        <f aca="false">$E15</f>
        <v>7.7715</v>
      </c>
      <c r="M15" s="185" t="n">
        <f aca="false">M$3*$E15</f>
        <v>8.14007017339946</v>
      </c>
      <c r="N15" s="185" t="n">
        <f aca="false">N$3*$E15</f>
        <v>8.36103184603509</v>
      </c>
      <c r="O15" s="185" t="n">
        <f aca="false">O$3*$E15</f>
        <v>8.69788550849489</v>
      </c>
      <c r="P15" s="185" t="n">
        <f aca="false">P$3*$E15</f>
        <v>9.1892199582611</v>
      </c>
      <c r="Q15" s="185" t="n">
        <f aca="false">Q$3*$E15</f>
        <v>9.86157825617692</v>
      </c>
      <c r="R15" s="185" t="n">
        <f aca="false">R$3*$E15</f>
        <v>10.7055573075648</v>
      </c>
      <c r="S15" s="185" t="n">
        <f aca="false">S$3*$E15</f>
        <v>11.65725</v>
      </c>
      <c r="T15" s="185" t="n">
        <f aca="false">T$3*$E15</f>
        <v>12.6089426924352</v>
      </c>
      <c r="U15" s="185" t="n">
        <f aca="false">U$3*$E15</f>
        <v>13.4529217438231</v>
      </c>
      <c r="V15" s="185" t="n">
        <f aca="false">V$3*$E15</f>
        <v>14.1252800417389</v>
      </c>
      <c r="W15" s="185" t="n">
        <f aca="false">W$3*$E15</f>
        <v>14.6166144915051</v>
      </c>
      <c r="X15" s="185" t="n">
        <f aca="false">X$3*$E15</f>
        <v>14.9534681539649</v>
      </c>
      <c r="Y15" s="185" t="n">
        <f aca="false">Y$3*$E15</f>
        <v>15.1744298266005</v>
      </c>
      <c r="Z15" s="185" t="n">
        <f aca="false">Z$3*$E15</f>
        <v>15.3151999987158</v>
      </c>
      <c r="AA15" s="185" t="n">
        <f aca="false">AA$3*$E15</f>
        <v>15.4032201692796</v>
      </c>
      <c r="AB15" s="185" t="n">
        <f aca="false">AB$3*$E15</f>
        <v>15.4576149753463</v>
      </c>
      <c r="AC15" s="185" t="n">
        <f aca="false">AC$3*$E15</f>
        <v>15.4909865090419</v>
      </c>
      <c r="AD15" s="219" t="n">
        <f aca="false">Algae_electricity_factor/H15</f>
        <v>0.00176846131422882</v>
      </c>
      <c r="AE15" s="220" t="n">
        <f aca="false">Algae_electricity_factor/I15</f>
        <v>0.00176846131422882</v>
      </c>
      <c r="AF15" s="220" t="n">
        <f aca="false">Algae_electricity_factor/J15</f>
        <v>0.00176846131422882</v>
      </c>
      <c r="AG15" s="220" t="n">
        <f aca="false">Algae_electricity_factor/K15</f>
        <v>0.00176846131422882</v>
      </c>
      <c r="AH15" s="220" t="n">
        <f aca="false">Algae_electricity_factor/L15</f>
        <v>0.00176846131422882</v>
      </c>
      <c r="AI15" s="220" t="n">
        <f aca="false">Algae_electricity_factor/M15</f>
        <v>0.00168838803729743</v>
      </c>
      <c r="AJ15" s="220" t="n">
        <f aca="false">Algae_electricity_factor/N15</f>
        <v>0.00164376806076234</v>
      </c>
      <c r="AK15" s="220" t="n">
        <f aca="false">Algae_electricity_factor/O15</f>
        <v>0.00158010784231483</v>
      </c>
      <c r="AL15" s="220" t="n">
        <f aca="false">Algae_electricity_factor/P15</f>
        <v>0.00149562173568103</v>
      </c>
      <c r="AM15" s="220" t="n">
        <f aca="false">Algae_electricity_factor/Q15</f>
        <v>0.0013936508687056</v>
      </c>
      <c r="AN15" s="220" t="n">
        <f aca="false">Algae_electricity_factor/R15</f>
        <v>0.00128378156397498</v>
      </c>
      <c r="AO15" s="220" t="n">
        <f aca="false">Algae_electricity_factor/S15</f>
        <v>0.00117897420948588</v>
      </c>
      <c r="AP15" s="220" t="n">
        <f aca="false">Algae_electricity_factor/T15</f>
        <v>0.00108998806948142</v>
      </c>
      <c r="AQ15" s="220" t="n">
        <f aca="false">Algae_electricity_factor/U15</f>
        <v>0.0010216068572494</v>
      </c>
      <c r="AR15" s="220" t="n">
        <f aca="false">Algae_electricity_factor/V15</f>
        <v>0.000972978734787431</v>
      </c>
      <c r="AS15" s="220" t="n">
        <f aca="false">Algae_electricity_factor/W15</f>
        <v>0.000940272257403845</v>
      </c>
      <c r="AT15" s="220" t="n">
        <f aca="false">Algae_electricity_factor/X15</f>
        <v>0.00091909094010978</v>
      </c>
      <c r="AU15" s="220" t="n">
        <f aca="false">Algae_electricity_factor/Y15</f>
        <v>0.000905707645069929</v>
      </c>
      <c r="AV15" s="220" t="n">
        <f aca="false">Algae_electricity_factor/Z15</f>
        <v>0.000897382803011495</v>
      </c>
      <c r="AW15" s="220" t="n">
        <f aca="false">Algae_electricity_factor/AA15</f>
        <v>0.000892254798184323</v>
      </c>
      <c r="AX15" s="220" t="n">
        <f aca="false">Algae_electricity_factor/AB15</f>
        <v>0.000889114984779294</v>
      </c>
      <c r="AY15" s="220" t="n">
        <f aca="false">Algae_electricity_factor/AC15</f>
        <v>0.000887199604460779</v>
      </c>
      <c r="AZ15" s="211" t="n">
        <f aca="false">Algae_yield_cost_factor/H15</f>
        <v>0.0979016430915805</v>
      </c>
      <c r="BA15" s="18" t="n">
        <f aca="false">Algae_yield_cost_factor/I15</f>
        <v>0.0979016430915805</v>
      </c>
      <c r="BB15" s="18" t="n">
        <f aca="false">Algae_yield_cost_factor/J15</f>
        <v>0.0979016430915805</v>
      </c>
      <c r="BC15" s="18" t="n">
        <f aca="false">Algae_yield_cost_factor/K15</f>
        <v>0.0979016430915805</v>
      </c>
      <c r="BD15" s="18" t="n">
        <f aca="false">Algae_yield_cost_factor/L15</f>
        <v>0.0979016430915805</v>
      </c>
      <c r="BE15" s="18" t="n">
        <f aca="false">Algae_yield_cost_factor/M15</f>
        <v>0.0934688034720559</v>
      </c>
      <c r="BF15" s="18" t="n">
        <f aca="false">Algae_yield_cost_factor/N15</f>
        <v>0.0909986510393474</v>
      </c>
      <c r="BG15" s="18" t="n">
        <f aca="false">Algae_yield_cost_factor/O15</f>
        <v>0.0874744348546704</v>
      </c>
      <c r="BH15" s="18" t="n">
        <f aca="false">Algae_yield_cost_factor/P15</f>
        <v>0.0827973019192147</v>
      </c>
      <c r="BI15" s="18" t="n">
        <f aca="false">Algae_yield_cost_factor/Q15</f>
        <v>0.0771522163614789</v>
      </c>
      <c r="BJ15" s="18" t="n">
        <f aca="false">Algae_yield_cost_factor/R15</f>
        <v>0.0710698749656489</v>
      </c>
      <c r="BK15" s="18" t="n">
        <f aca="false">Algae_yield_cost_factor/S15</f>
        <v>0.0652677620610537</v>
      </c>
      <c r="BL15" s="18" t="n">
        <f aca="false">Algae_yield_cost_factor/T15</f>
        <v>0.0603415082330962</v>
      </c>
      <c r="BM15" s="18" t="n">
        <f aca="false">Algae_yield_cost_factor/U15</f>
        <v>0.0565559388342952</v>
      </c>
      <c r="BN15" s="18" t="n">
        <f aca="false">Algae_yield_cost_factor/V15</f>
        <v>0.0538638962935955</v>
      </c>
      <c r="BO15" s="18" t="n">
        <f aca="false">Algae_yield_cost_factor/W15</f>
        <v>0.0520532726458924</v>
      </c>
      <c r="BP15" s="18" t="n">
        <f aca="false">Algae_yield_cost_factor/X15</f>
        <v>0.0508806794151282</v>
      </c>
      <c r="BQ15" s="18" t="n">
        <f aca="false">Algae_yield_cost_factor/Y15</f>
        <v>0.0501397830416318</v>
      </c>
      <c r="BR15" s="18" t="n">
        <f aca="false">Algae_yield_cost_factor/Z15</f>
        <v>0.0496789215517926</v>
      </c>
      <c r="BS15" s="18" t="n">
        <f aca="false">Algae_yield_cost_factor/AA15</f>
        <v>0.0493950362927132</v>
      </c>
      <c r="BT15" s="18" t="n">
        <f aca="false">Algae_yield_cost_factor/AB15</f>
        <v>0.0492212168888733</v>
      </c>
      <c r="BU15" s="18" t="n">
        <f aca="false">Algae_yield_cost_factor/AC15</f>
        <v>0.0491151818408803</v>
      </c>
    </row>
    <row r="16" customFormat="false" ht="15" hidden="false" customHeight="false" outlineLevel="0" collapsed="false">
      <c r="A16" s="18" t="s">
        <v>689</v>
      </c>
      <c r="B16" s="18" t="s">
        <v>22</v>
      </c>
      <c r="C16" s="18" t="s">
        <v>694</v>
      </c>
      <c r="D16" s="18" t="s">
        <v>694</v>
      </c>
      <c r="E16" s="185" t="n">
        <v>7.755</v>
      </c>
      <c r="F16" s="18" t="n">
        <f aca="false">E16/$B$2*$F$3/1000</f>
        <v>0.01899975</v>
      </c>
      <c r="G16" s="18" t="n">
        <f aca="false">LOOKUP(RIGHT(D16,5),Ref!$C$4:$C$21,Ref!$E$4:$E$21)*$G$3</f>
        <v>3</v>
      </c>
      <c r="H16" s="222" t="n">
        <f aca="false">$E16</f>
        <v>7.755</v>
      </c>
      <c r="I16" s="185" t="n">
        <f aca="false">$E16</f>
        <v>7.755</v>
      </c>
      <c r="J16" s="185" t="n">
        <f aca="false">$E16</f>
        <v>7.755</v>
      </c>
      <c r="K16" s="185" t="n">
        <f aca="false">$E16</f>
        <v>7.755</v>
      </c>
      <c r="L16" s="185" t="n">
        <f aca="false">$E16</f>
        <v>7.755</v>
      </c>
      <c r="M16" s="185" t="n">
        <f aca="false">M$3*$E16</f>
        <v>8.12278764649203</v>
      </c>
      <c r="N16" s="185" t="n">
        <f aca="false">N$3*$E16</f>
        <v>8.34328018606474</v>
      </c>
      <c r="O16" s="185" t="n">
        <f aca="false">O$3*$E16</f>
        <v>8.67941866028152</v>
      </c>
      <c r="P16" s="185" t="n">
        <f aca="false">P$3*$E16</f>
        <v>9.16970993711829</v>
      </c>
      <c r="Q16" s="185" t="n">
        <f aca="false">Q$3*$E16</f>
        <v>9.84064072272431</v>
      </c>
      <c r="R16" s="185" t="n">
        <f aca="false">R$3*$E16</f>
        <v>10.6828278865296</v>
      </c>
      <c r="S16" s="185" t="n">
        <f aca="false">S$3*$E16</f>
        <v>11.6325</v>
      </c>
      <c r="T16" s="185" t="n">
        <f aca="false">T$3*$E16</f>
        <v>12.5821721134704</v>
      </c>
      <c r="U16" s="185" t="n">
        <f aca="false">U$3*$E16</f>
        <v>13.4243592772757</v>
      </c>
      <c r="V16" s="185" t="n">
        <f aca="false">V$3*$E16</f>
        <v>14.0952900628817</v>
      </c>
      <c r="W16" s="185" t="n">
        <f aca="false">W$3*$E16</f>
        <v>14.5855813397185</v>
      </c>
      <c r="X16" s="185" t="n">
        <f aca="false">X$3*$E16</f>
        <v>14.9217198139353</v>
      </c>
      <c r="Y16" s="185" t="n">
        <f aca="false">Y$3*$E16</f>
        <v>15.142212353508</v>
      </c>
      <c r="Z16" s="185" t="n">
        <f aca="false">Z$3*$E16</f>
        <v>15.2826836505232</v>
      </c>
      <c r="AA16" s="185" t="n">
        <f aca="false">AA$3*$E16</f>
        <v>15.370516941744</v>
      </c>
      <c r="AB16" s="185" t="n">
        <f aca="false">AB$3*$E16</f>
        <v>15.4247962598998</v>
      </c>
      <c r="AC16" s="185" t="n">
        <f aca="false">AC$3*$E16</f>
        <v>15.4580969410822</v>
      </c>
      <c r="AD16" s="219" t="n">
        <f aca="false">Algae_electricity_factor/H16</f>
        <v>0.00177222399787611</v>
      </c>
      <c r="AE16" s="220" t="n">
        <f aca="false">Algae_electricity_factor/I16</f>
        <v>0.00177222399787611</v>
      </c>
      <c r="AF16" s="220" t="n">
        <f aca="false">Algae_electricity_factor/J16</f>
        <v>0.00177222399787611</v>
      </c>
      <c r="AG16" s="220" t="n">
        <f aca="false">Algae_electricity_factor/K16</f>
        <v>0.00177222399787611</v>
      </c>
      <c r="AH16" s="220" t="n">
        <f aca="false">Algae_electricity_factor/L16</f>
        <v>0.00177222399787611</v>
      </c>
      <c r="AI16" s="220" t="n">
        <f aca="false">Algae_electricity_factor/M16</f>
        <v>0.0016919803522704</v>
      </c>
      <c r="AJ16" s="220" t="n">
        <f aca="false">Algae_electricity_factor/N16</f>
        <v>0.00164726543961502</v>
      </c>
      <c r="AK16" s="220" t="n">
        <f aca="false">Algae_electricity_factor/O16</f>
        <v>0.00158346977389422</v>
      </c>
      <c r="AL16" s="220" t="n">
        <f aca="false">Algae_electricity_factor/P16</f>
        <v>0.00149880390958674</v>
      </c>
      <c r="AM16" s="220" t="n">
        <f aca="false">Algae_electricity_factor/Q16</f>
        <v>0.00139661608331987</v>
      </c>
      <c r="AN16" s="220" t="n">
        <f aca="false">Algae_electricity_factor/R16</f>
        <v>0.00128651301411109</v>
      </c>
      <c r="AO16" s="220" t="n">
        <f aca="false">Algae_electricity_factor/S16</f>
        <v>0.00118148266525074</v>
      </c>
      <c r="AP16" s="220" t="n">
        <f aca="false">Algae_electricity_factor/T16</f>
        <v>0.0010923071930335</v>
      </c>
      <c r="AQ16" s="220" t="n">
        <f aca="false">Algae_electricity_factor/U16</f>
        <v>0.00102378048886057</v>
      </c>
      <c r="AR16" s="220" t="n">
        <f aca="false">Algae_electricity_factor/V16</f>
        <v>0.000975048902308255</v>
      </c>
      <c r="AS16" s="220" t="n">
        <f aca="false">Algae_electricity_factor/W16</f>
        <v>0.000942272836674917</v>
      </c>
      <c r="AT16" s="220" t="n">
        <f aca="false">Algae_electricity_factor/X16</f>
        <v>0.000921046452748311</v>
      </c>
      <c r="AU16" s="220" t="n">
        <f aca="false">Algae_electricity_factor/Y16</f>
        <v>0.00090763468261263</v>
      </c>
      <c r="AV16" s="220" t="n">
        <f aca="false">Algae_electricity_factor/Z16</f>
        <v>0.000899292128124285</v>
      </c>
      <c r="AW16" s="220" t="n">
        <f aca="false">Algae_electricity_factor/AA16</f>
        <v>0.000894153212648545</v>
      </c>
      <c r="AX16" s="220" t="n">
        <f aca="false">Algae_electricity_factor/AB16</f>
        <v>0.000891006718789463</v>
      </c>
      <c r="AY16" s="220" t="n">
        <f aca="false">Algae_electricity_factor/AC16</f>
        <v>0.000889087263193674</v>
      </c>
      <c r="AZ16" s="211" t="n">
        <f aca="false">Algae_yield_cost_factor/H16</f>
        <v>0.0981099444598604</v>
      </c>
      <c r="BA16" s="18" t="n">
        <f aca="false">Algae_yield_cost_factor/I16</f>
        <v>0.0981099444598604</v>
      </c>
      <c r="BB16" s="18" t="n">
        <f aca="false">Algae_yield_cost_factor/J16</f>
        <v>0.0981099444598604</v>
      </c>
      <c r="BC16" s="18" t="n">
        <f aca="false">Algae_yield_cost_factor/K16</f>
        <v>0.0981099444598604</v>
      </c>
      <c r="BD16" s="18" t="n">
        <f aca="false">Algae_yield_cost_factor/L16</f>
        <v>0.0981099444598604</v>
      </c>
      <c r="BE16" s="18" t="n">
        <f aca="false">Algae_yield_cost_factor/M16</f>
        <v>0.0936676732666773</v>
      </c>
      <c r="BF16" s="18" t="n">
        <f aca="false">Algae_yield_cost_factor/N16</f>
        <v>0.0911922651904949</v>
      </c>
      <c r="BG16" s="18" t="n">
        <f aca="false">Algae_yield_cost_factor/O16</f>
        <v>0.0876605506735101</v>
      </c>
      <c r="BH16" s="18" t="n">
        <f aca="false">Algae_yield_cost_factor/P16</f>
        <v>0.0829734663913833</v>
      </c>
      <c r="BI16" s="18" t="n">
        <f aca="false">Algae_yield_cost_factor/Q16</f>
        <v>0.0773163700133119</v>
      </c>
      <c r="BJ16" s="18" t="n">
        <f aca="false">Algae_yield_cost_factor/R16</f>
        <v>0.0712210874655758</v>
      </c>
      <c r="BK16" s="18" t="n">
        <f aca="false">Algae_yield_cost_factor/S16</f>
        <v>0.065406629639907</v>
      </c>
      <c r="BL16" s="18" t="n">
        <f aca="false">Algae_yield_cost_factor/T16</f>
        <v>0.0604698944208262</v>
      </c>
      <c r="BM16" s="18" t="n">
        <f aca="false">Algae_yield_cost_factor/U16</f>
        <v>0.056676270619049</v>
      </c>
      <c r="BN16" s="18" t="n">
        <f aca="false">Algae_yield_cost_factor/V16</f>
        <v>0.0539785003282627</v>
      </c>
      <c r="BO16" s="18" t="n">
        <f aca="false">Algae_yield_cost_factor/W16</f>
        <v>0.0521640242898199</v>
      </c>
      <c r="BP16" s="18" t="n">
        <f aca="false">Algae_yield_cost_factor/X16</f>
        <v>0.0509889361798413</v>
      </c>
      <c r="BQ16" s="18" t="n">
        <f aca="false">Algae_yield_cost_factor/Y16</f>
        <v>0.0502464634310821</v>
      </c>
      <c r="BR16" s="18" t="n">
        <f aca="false">Algae_yield_cost_factor/Z16</f>
        <v>0.0497846213848815</v>
      </c>
      <c r="BS16" s="18" t="n">
        <f aca="false">Algae_yield_cost_factor/AA16</f>
        <v>0.0495001321146126</v>
      </c>
      <c r="BT16" s="18" t="n">
        <f aca="false">Algae_yield_cost_factor/AB16</f>
        <v>0.0493259428822538</v>
      </c>
      <c r="BU16" s="18" t="n">
        <f aca="false">Algae_yield_cost_factor/AC16</f>
        <v>0.0492196822277758</v>
      </c>
    </row>
    <row r="17" customFormat="false" ht="15" hidden="false" customHeight="false" outlineLevel="0" collapsed="false">
      <c r="A17" s="18" t="s">
        <v>689</v>
      </c>
      <c r="B17" s="18" t="s">
        <v>22</v>
      </c>
      <c r="C17" s="18" t="s">
        <v>682</v>
      </c>
      <c r="D17" s="18" t="s">
        <v>682</v>
      </c>
      <c r="E17" s="185" t="n">
        <v>7.8045</v>
      </c>
      <c r="F17" s="18" t="n">
        <f aca="false">E17/$B$2*$F$3/1000</f>
        <v>0.019121025</v>
      </c>
      <c r="G17" s="18" t="n">
        <f aca="false">LOOKUP(RIGHT(D17,5),Ref!$C$4:$C$21,Ref!$E$4:$E$21)*$G$3</f>
        <v>3</v>
      </c>
      <c r="H17" s="222" t="n">
        <f aca="false">$E17</f>
        <v>7.8045</v>
      </c>
      <c r="I17" s="185" t="n">
        <f aca="false">$E17</f>
        <v>7.8045</v>
      </c>
      <c r="J17" s="185" t="n">
        <f aca="false">$E17</f>
        <v>7.8045</v>
      </c>
      <c r="K17" s="185" t="n">
        <f aca="false">$E17</f>
        <v>7.8045</v>
      </c>
      <c r="L17" s="185" t="n">
        <f aca="false">$E17</f>
        <v>7.8045</v>
      </c>
      <c r="M17" s="185" t="n">
        <f aca="false">M$3*$E17</f>
        <v>8.17463522721432</v>
      </c>
      <c r="N17" s="185" t="n">
        <f aca="false">N$3*$E17</f>
        <v>8.3965351659758</v>
      </c>
      <c r="O17" s="185" t="n">
        <f aca="false">O$3*$E17</f>
        <v>8.73481920492162</v>
      </c>
      <c r="P17" s="185" t="n">
        <f aca="false">P$3*$E17</f>
        <v>9.22824000054671</v>
      </c>
      <c r="Q17" s="185" t="n">
        <f aca="false">Q$3*$E17</f>
        <v>9.90345332308213</v>
      </c>
      <c r="R17" s="185" t="n">
        <f aca="false">R$3*$E17</f>
        <v>10.7510161496351</v>
      </c>
      <c r="S17" s="185" t="n">
        <f aca="false">S$3*$E17</f>
        <v>11.70675</v>
      </c>
      <c r="T17" s="185" t="n">
        <f aca="false">T$3*$E17</f>
        <v>12.6624838503649</v>
      </c>
      <c r="U17" s="185" t="n">
        <f aca="false">U$3*$E17</f>
        <v>13.5100466769179</v>
      </c>
      <c r="V17" s="185" t="n">
        <f aca="false">V$3*$E17</f>
        <v>14.1852599994533</v>
      </c>
      <c r="W17" s="185" t="n">
        <f aca="false">W$3*$E17</f>
        <v>14.6786807950784</v>
      </c>
      <c r="X17" s="185" t="n">
        <f aca="false">X$3*$E17</f>
        <v>15.0169648340242</v>
      </c>
      <c r="Y17" s="185" t="n">
        <f aca="false">Y$3*$E17</f>
        <v>15.2388647727857</v>
      </c>
      <c r="Z17" s="185" t="n">
        <f aca="false">Z$3*$E17</f>
        <v>15.380232695101</v>
      </c>
      <c r="AA17" s="185" t="n">
        <f aca="false">AA$3*$E17</f>
        <v>15.4686266243509</v>
      </c>
      <c r="AB17" s="185" t="n">
        <f aca="false">AB$3*$E17</f>
        <v>15.5232524062395</v>
      </c>
      <c r="AC17" s="185" t="n">
        <f aca="false">AC$3*$E17</f>
        <v>15.5567656449614</v>
      </c>
      <c r="AD17" s="219" t="n">
        <f aca="false">Algae_electricity_factor/H17</f>
        <v>0.00176098367653652</v>
      </c>
      <c r="AE17" s="220" t="n">
        <f aca="false">Algae_electricity_factor/I17</f>
        <v>0.00176098367653652</v>
      </c>
      <c r="AF17" s="220" t="n">
        <f aca="false">Algae_electricity_factor/J17</f>
        <v>0.00176098367653652</v>
      </c>
      <c r="AG17" s="220" t="n">
        <f aca="false">Algae_electricity_factor/K17</f>
        <v>0.00176098367653652</v>
      </c>
      <c r="AH17" s="220" t="n">
        <f aca="false">Algae_electricity_factor/L17</f>
        <v>0.00176098367653652</v>
      </c>
      <c r="AI17" s="220" t="n">
        <f aca="false">Algae_electricity_factor/M17</f>
        <v>0.00168124897582894</v>
      </c>
      <c r="AJ17" s="220" t="n">
        <f aca="false">Algae_electricity_factor/N17</f>
        <v>0.00163681766727074</v>
      </c>
      <c r="AK17" s="220" t="n">
        <f aca="false">Algae_electricity_factor/O17</f>
        <v>0.00157342662522259</v>
      </c>
      <c r="AL17" s="220" t="n">
        <f aca="false">Algae_electricity_factor/P17</f>
        <v>0.00148929775371198</v>
      </c>
      <c r="AM17" s="220" t="n">
        <f aca="false">Algae_electricity_factor/Q17</f>
        <v>0.00138775805319311</v>
      </c>
      <c r="AN17" s="220" t="n">
        <f aca="false">Algae_electricity_factor/R17</f>
        <v>0.00127835331211885</v>
      </c>
      <c r="AO17" s="220" t="n">
        <f aca="false">Algae_electricity_factor/S17</f>
        <v>0.00117398911769101</v>
      </c>
      <c r="AP17" s="220" t="n">
        <f aca="false">Algae_electricity_factor/T17</f>
        <v>0.00108537924043498</v>
      </c>
      <c r="AQ17" s="220" t="n">
        <f aca="false">Algae_electricity_factor/U17</f>
        <v>0.00101728716652108</v>
      </c>
      <c r="AR17" s="220" t="n">
        <f aca="false">Algae_electricity_factor/V17</f>
        <v>0.0009688646597989</v>
      </c>
      <c r="AS17" s="220" t="n">
        <f aca="false">Algae_electricity_factor/W17</f>
        <v>0.000936296476188606</v>
      </c>
      <c r="AT17" s="220" t="n">
        <f aca="false">Algae_electricity_factor/X17</f>
        <v>0.000915204720489865</v>
      </c>
      <c r="AU17" s="220" t="n">
        <f aca="false">Algae_electricity_factor/Y17</f>
        <v>0.000901878014435383</v>
      </c>
      <c r="AV17" s="220" t="n">
        <f aca="false">Algae_electricity_factor/Z17</f>
        <v>0.000893588372554787</v>
      </c>
      <c r="AW17" s="220" t="n">
        <f aca="false">Algae_electricity_factor/AA17</f>
        <v>0.000888482050623289</v>
      </c>
      <c r="AX17" s="220" t="n">
        <f aca="false">Algae_electricity_factor/AB17</f>
        <v>0.000885355513384879</v>
      </c>
      <c r="AY17" s="220" t="n">
        <f aca="false">Algae_electricity_factor/AC17</f>
        <v>0.000883448231926061</v>
      </c>
      <c r="AZ17" s="211" t="n">
        <f aca="false">Algae_yield_cost_factor/H17</f>
        <v>0.0974876826556753</v>
      </c>
      <c r="BA17" s="18" t="n">
        <f aca="false">Algae_yield_cost_factor/I17</f>
        <v>0.0974876826556753</v>
      </c>
      <c r="BB17" s="18" t="n">
        <f aca="false">Algae_yield_cost_factor/J17</f>
        <v>0.0974876826556753</v>
      </c>
      <c r="BC17" s="18" t="n">
        <f aca="false">Algae_yield_cost_factor/K17</f>
        <v>0.0974876826556753</v>
      </c>
      <c r="BD17" s="18" t="n">
        <f aca="false">Algae_yield_cost_factor/L17</f>
        <v>0.0974876826556753</v>
      </c>
      <c r="BE17" s="18" t="n">
        <f aca="false">Algae_yield_cost_factor/M17</f>
        <v>0.0930735865440556</v>
      </c>
      <c r="BF17" s="18" t="n">
        <f aca="false">Algae_yield_cost_factor/N17</f>
        <v>0.0906138787305129</v>
      </c>
      <c r="BG17" s="18" t="n">
        <f aca="false">Algae_yield_cost_factor/O17</f>
        <v>0.0871045640941856</v>
      </c>
      <c r="BH17" s="18" t="n">
        <f aca="false">Algae_yield_cost_factor/P17</f>
        <v>0.0824472076193449</v>
      </c>
      <c r="BI17" s="18" t="n">
        <f aca="false">Algae_yield_cost_factor/Q17</f>
        <v>0.0768259913451513</v>
      </c>
      <c r="BJ17" s="18" t="n">
        <f aca="false">Algae_yield_cost_factor/R17</f>
        <v>0.0707693680947581</v>
      </c>
      <c r="BK17" s="18" t="n">
        <f aca="false">Algae_yield_cost_factor/S17</f>
        <v>0.0649917884371169</v>
      </c>
      <c r="BL17" s="18" t="n">
        <f aca="false">Algae_yield_cost_factor/T17</f>
        <v>0.0600863644350704</v>
      </c>
      <c r="BM17" s="18" t="n">
        <f aca="false">Algae_yield_cost_factor/U17</f>
        <v>0.0563168016722051</v>
      </c>
      <c r="BN17" s="18" t="n">
        <f aca="false">Algae_yield_cost_factor/V17</f>
        <v>0.0536361419752293</v>
      </c>
      <c r="BO17" s="18" t="n">
        <f aca="false">Algae_yield_cost_factor/W17</f>
        <v>0.05183317424147</v>
      </c>
      <c r="BP17" s="18" t="n">
        <f aca="false">Algae_yield_cost_factor/X17</f>
        <v>0.0506655391216182</v>
      </c>
      <c r="BQ17" s="18" t="n">
        <f aca="false">Algae_yield_cost_factor/Y17</f>
        <v>0.0499277755023437</v>
      </c>
      <c r="BR17" s="18" t="n">
        <f aca="false">Algae_yield_cost_factor/Z17</f>
        <v>0.0494688626868801</v>
      </c>
      <c r="BS17" s="18" t="n">
        <f aca="false">Algae_yield_cost_factor/AA17</f>
        <v>0.0491861777883042</v>
      </c>
      <c r="BT17" s="18" t="n">
        <f aca="false">Algae_yield_cost_factor/AB17</f>
        <v>0.0490130933502311</v>
      </c>
      <c r="BU17" s="18" t="n">
        <f aca="false">Algae_yield_cost_factor/AC17</f>
        <v>0.0489075066533925</v>
      </c>
    </row>
    <row r="18" customFormat="false" ht="15" hidden="false" customHeight="false" outlineLevel="0" collapsed="false">
      <c r="A18" s="18" t="s">
        <v>689</v>
      </c>
      <c r="B18" s="18" t="s">
        <v>22</v>
      </c>
      <c r="C18" s="18" t="s">
        <v>683</v>
      </c>
      <c r="D18" s="18" t="s">
        <v>683</v>
      </c>
      <c r="E18" s="185" t="n">
        <v>9.06675</v>
      </c>
      <c r="F18" s="18" t="n">
        <f aca="false">E18/$B$2*$F$3/1000</f>
        <v>0.0222135375</v>
      </c>
      <c r="G18" s="18" t="n">
        <f aca="false">LOOKUP(RIGHT(D18,5),Ref!$C$4:$C$21,Ref!$E$4:$E$21)*$G$3</f>
        <v>3</v>
      </c>
      <c r="H18" s="222" t="n">
        <f aca="false">$E18</f>
        <v>9.06675</v>
      </c>
      <c r="I18" s="185" t="n">
        <f aca="false">$E18</f>
        <v>9.06675</v>
      </c>
      <c r="J18" s="185" t="n">
        <f aca="false">$E18</f>
        <v>9.06675</v>
      </c>
      <c r="K18" s="185" t="n">
        <f aca="false">$E18</f>
        <v>9.06675</v>
      </c>
      <c r="L18" s="185" t="n">
        <f aca="false">$E18</f>
        <v>9.06675</v>
      </c>
      <c r="M18" s="185" t="n">
        <f aca="false">M$3*$E18</f>
        <v>9.4967485356327</v>
      </c>
      <c r="N18" s="185" t="n">
        <f aca="false">N$3*$E18</f>
        <v>9.75453715370761</v>
      </c>
      <c r="O18" s="185" t="n">
        <f aca="false">O$3*$E18</f>
        <v>10.147533093244</v>
      </c>
      <c r="P18" s="185" t="n">
        <f aca="false">P$3*$E18</f>
        <v>10.7207566179713</v>
      </c>
      <c r="Q18" s="185" t="n">
        <f aca="false">Q$3*$E18</f>
        <v>11.5051746322064</v>
      </c>
      <c r="R18" s="185" t="n">
        <f aca="false">R$3*$E18</f>
        <v>12.4898168588256</v>
      </c>
      <c r="S18" s="185" t="n">
        <f aca="false">S$3*$E18</f>
        <v>13.600125</v>
      </c>
      <c r="T18" s="185" t="n">
        <f aca="false">T$3*$E18</f>
        <v>14.7104331411744</v>
      </c>
      <c r="U18" s="185" t="n">
        <f aca="false">U$3*$E18</f>
        <v>15.6950753677936</v>
      </c>
      <c r="V18" s="185" t="n">
        <f aca="false">V$3*$E18</f>
        <v>16.4794933820287</v>
      </c>
      <c r="W18" s="185" t="n">
        <f aca="false">W$3*$E18</f>
        <v>17.052716906756</v>
      </c>
      <c r="X18" s="185" t="n">
        <f aca="false">X$3*$E18</f>
        <v>17.4457128462924</v>
      </c>
      <c r="Y18" s="185" t="n">
        <f aca="false">Y$3*$E18</f>
        <v>17.7035014643673</v>
      </c>
      <c r="Z18" s="185" t="n">
        <f aca="false">Z$3*$E18</f>
        <v>17.8677333318351</v>
      </c>
      <c r="AA18" s="185" t="n">
        <f aca="false">AA$3*$E18</f>
        <v>17.9704235308262</v>
      </c>
      <c r="AB18" s="185" t="n">
        <f aca="false">AB$3*$E18</f>
        <v>18.0338841379041</v>
      </c>
      <c r="AC18" s="185" t="n">
        <f aca="false">AC$3*$E18</f>
        <v>18.0728175938822</v>
      </c>
      <c r="AD18" s="219" t="n">
        <f aca="false">Algae_electricity_factor/H18</f>
        <v>0.0015158239836247</v>
      </c>
      <c r="AE18" s="220" t="n">
        <f aca="false">Algae_electricity_factor/I18</f>
        <v>0.0015158239836247</v>
      </c>
      <c r="AF18" s="220" t="n">
        <f aca="false">Algae_electricity_factor/J18</f>
        <v>0.0015158239836247</v>
      </c>
      <c r="AG18" s="220" t="n">
        <f aca="false">Algae_electricity_factor/K18</f>
        <v>0.0015158239836247</v>
      </c>
      <c r="AH18" s="220" t="n">
        <f aca="false">Algae_electricity_factor/L18</f>
        <v>0.0015158239836247</v>
      </c>
      <c r="AI18" s="220" t="n">
        <f aca="false">Algae_electricity_factor/M18</f>
        <v>0.00144718974625494</v>
      </c>
      <c r="AJ18" s="220" t="n">
        <f aca="false">Algae_electricity_factor/N18</f>
        <v>0.001408944052082</v>
      </c>
      <c r="AK18" s="220" t="n">
        <f aca="false">Algae_electricity_factor/O18</f>
        <v>0.00135437815055557</v>
      </c>
      <c r="AL18" s="220" t="n">
        <f aca="false">Algae_electricity_factor/P18</f>
        <v>0.0012819614877266</v>
      </c>
      <c r="AM18" s="220" t="n">
        <f aca="false">Algae_electricity_factor/Q18</f>
        <v>0.00119455788746195</v>
      </c>
      <c r="AN18" s="220" t="n">
        <f aca="false">Algae_electricity_factor/R18</f>
        <v>0.00110038419769284</v>
      </c>
      <c r="AO18" s="220" t="n">
        <f aca="false">Algae_electricity_factor/S18</f>
        <v>0.00101054932241647</v>
      </c>
      <c r="AP18" s="220" t="n">
        <f aca="false">Algae_electricity_factor/T18</f>
        <v>0.000934275488126928</v>
      </c>
      <c r="AQ18" s="220" t="n">
        <f aca="false">Algae_electricity_factor/U18</f>
        <v>0.000875663020499488</v>
      </c>
      <c r="AR18" s="220" t="n">
        <f aca="false">Algae_electricity_factor/V18</f>
        <v>0.00083398177267494</v>
      </c>
      <c r="AS18" s="220" t="n">
        <f aca="false">Algae_electricity_factor/W18</f>
        <v>0.000805947649203296</v>
      </c>
      <c r="AT18" s="220" t="n">
        <f aca="false">Algae_electricity_factor/X18</f>
        <v>0.000787792234379811</v>
      </c>
      <c r="AU18" s="220" t="n">
        <f aca="false">Algae_electricity_factor/Y18</f>
        <v>0.000776320838631367</v>
      </c>
      <c r="AV18" s="220" t="n">
        <f aca="false">Algae_electricity_factor/Z18</f>
        <v>0.000769185259724138</v>
      </c>
      <c r="AW18" s="220" t="n">
        <f aca="false">Algae_electricity_factor/AA18</f>
        <v>0.000764789827015134</v>
      </c>
      <c r="AX18" s="220" t="n">
        <f aca="false">Algae_electricity_factor/AB18</f>
        <v>0.000762098558382252</v>
      </c>
      <c r="AY18" s="220" t="n">
        <f aca="false">Algae_electricity_factor/AC18</f>
        <v>0.000760456803823525</v>
      </c>
      <c r="AZ18" s="211" t="n">
        <f aca="false">Algae_yield_cost_factor/H18</f>
        <v>0.0839156940784976</v>
      </c>
      <c r="BA18" s="18" t="n">
        <f aca="false">Algae_yield_cost_factor/I18</f>
        <v>0.0839156940784976</v>
      </c>
      <c r="BB18" s="18" t="n">
        <f aca="false">Algae_yield_cost_factor/J18</f>
        <v>0.0839156940784976</v>
      </c>
      <c r="BC18" s="18" t="n">
        <f aca="false">Algae_yield_cost_factor/K18</f>
        <v>0.0839156940784976</v>
      </c>
      <c r="BD18" s="18" t="n">
        <f aca="false">Algae_yield_cost_factor/L18</f>
        <v>0.0839156940784976</v>
      </c>
      <c r="BE18" s="18" t="n">
        <f aca="false">Algae_yield_cost_factor/M18</f>
        <v>0.0801161172617622</v>
      </c>
      <c r="BF18" s="18" t="n">
        <f aca="false">Algae_yield_cost_factor/N18</f>
        <v>0.077998843748012</v>
      </c>
      <c r="BG18" s="18" t="n">
        <f aca="false">Algae_yield_cost_factor/O18</f>
        <v>0.0749780870182889</v>
      </c>
      <c r="BH18" s="18" t="n">
        <f aca="false">Algae_yield_cost_factor/P18</f>
        <v>0.0709691159307555</v>
      </c>
      <c r="BI18" s="18" t="n">
        <f aca="false">Algae_yield_cost_factor/Q18</f>
        <v>0.066130471166982</v>
      </c>
      <c r="BJ18" s="18" t="n">
        <f aca="false">Algae_yield_cost_factor/R18</f>
        <v>0.0609170356848419</v>
      </c>
      <c r="BK18" s="18" t="n">
        <f aca="false">Algae_yield_cost_factor/S18</f>
        <v>0.0559437960523317</v>
      </c>
      <c r="BL18" s="18" t="n">
        <f aca="false">Algae_yield_cost_factor/T18</f>
        <v>0.0517212927712253</v>
      </c>
      <c r="BM18" s="18" t="n">
        <f aca="false">Algae_yield_cost_factor/U18</f>
        <v>0.0484765190008244</v>
      </c>
      <c r="BN18" s="18" t="n">
        <f aca="false">Algae_yield_cost_factor/V18</f>
        <v>0.046169053965939</v>
      </c>
      <c r="BO18" s="18" t="n">
        <f aca="false">Algae_yield_cost_factor/W18</f>
        <v>0.0446170908393364</v>
      </c>
      <c r="BP18" s="18" t="n">
        <f aca="false">Algae_yield_cost_factor/X18</f>
        <v>0.0436120109272528</v>
      </c>
      <c r="BQ18" s="18" t="n">
        <f aca="false">Algae_yield_cost_factor/Y18</f>
        <v>0.0429769568928273</v>
      </c>
      <c r="BR18" s="18" t="n">
        <f aca="false">Algae_yield_cost_factor/Z18</f>
        <v>0.0425819327586794</v>
      </c>
      <c r="BS18" s="18" t="n">
        <f aca="false">Algae_yield_cost_factor/AA18</f>
        <v>0.0423386025366113</v>
      </c>
      <c r="BT18" s="18" t="n">
        <f aca="false">Algae_yield_cost_factor/AB18</f>
        <v>0.0421896144761771</v>
      </c>
      <c r="BU18" s="18" t="n">
        <f aca="false">Algae_yield_cost_factor/AC18</f>
        <v>0.0420987272921831</v>
      </c>
    </row>
    <row r="19" customFormat="false" ht="15" hidden="false" customHeight="false" outlineLevel="0" collapsed="false">
      <c r="A19" s="18" t="s">
        <v>689</v>
      </c>
      <c r="B19" s="18" t="s">
        <v>22</v>
      </c>
      <c r="C19" s="18" t="s">
        <v>684</v>
      </c>
      <c r="D19" s="18" t="s">
        <v>684</v>
      </c>
      <c r="E19" s="185" t="n">
        <v>7.4745</v>
      </c>
      <c r="F19" s="18" t="n">
        <f aca="false">E19/$B$2*$F$3/1000</f>
        <v>0.018312525</v>
      </c>
      <c r="G19" s="18" t="n">
        <f aca="false">LOOKUP(RIGHT(D19,5),Ref!$C$4:$C$21,Ref!$E$4:$E$21)*$G$3</f>
        <v>3.5</v>
      </c>
      <c r="H19" s="222" t="n">
        <f aca="false">$E19</f>
        <v>7.4745</v>
      </c>
      <c r="I19" s="185" t="n">
        <f aca="false">$E19</f>
        <v>7.4745</v>
      </c>
      <c r="J19" s="185" t="n">
        <f aca="false">$E19</f>
        <v>7.4745</v>
      </c>
      <c r="K19" s="185" t="n">
        <f aca="false">$E19</f>
        <v>7.4745</v>
      </c>
      <c r="L19" s="185" t="n">
        <f aca="false">$E19</f>
        <v>7.4745</v>
      </c>
      <c r="M19" s="185" t="n">
        <f aca="false">M$3*$E19</f>
        <v>7.82898468906572</v>
      </c>
      <c r="N19" s="185" t="n">
        <f aca="false">N$3*$E19</f>
        <v>8.04150196656878</v>
      </c>
      <c r="O19" s="185" t="n">
        <f aca="false">O$3*$E19</f>
        <v>8.36548224065432</v>
      </c>
      <c r="P19" s="185" t="n">
        <f aca="false">P$3*$E19</f>
        <v>8.83803957769061</v>
      </c>
      <c r="Q19" s="185" t="n">
        <f aca="false">Q$3*$E19</f>
        <v>9.48470265403003</v>
      </c>
      <c r="R19" s="185" t="n">
        <f aca="false">R$3*$E19</f>
        <v>10.2964277289317</v>
      </c>
      <c r="S19" s="185" t="n">
        <f aca="false">S$3*$E19</f>
        <v>11.21175</v>
      </c>
      <c r="T19" s="185" t="n">
        <f aca="false">T$3*$E19</f>
        <v>12.1270722710683</v>
      </c>
      <c r="U19" s="185" t="n">
        <f aca="false">U$3*$E19</f>
        <v>12.93879734597</v>
      </c>
      <c r="V19" s="185" t="n">
        <f aca="false">V$3*$E19</f>
        <v>13.5854604223094</v>
      </c>
      <c r="W19" s="185" t="n">
        <f aca="false">W$3*$E19</f>
        <v>14.0580177593457</v>
      </c>
      <c r="X19" s="185" t="n">
        <f aca="false">X$3*$E19</f>
        <v>14.3819980334312</v>
      </c>
      <c r="Y19" s="185" t="n">
        <f aca="false">Y$3*$E19</f>
        <v>14.5945153109343</v>
      </c>
      <c r="Z19" s="185" t="n">
        <f aca="false">Z$3*$E19</f>
        <v>14.729905731249</v>
      </c>
      <c r="AA19" s="185" t="n">
        <f aca="false">AA$3*$E19</f>
        <v>14.8145620736383</v>
      </c>
      <c r="AB19" s="185" t="n">
        <f aca="false">AB$3*$E19</f>
        <v>14.8668780973076</v>
      </c>
      <c r="AC19" s="185" t="n">
        <f aca="false">AC$3*$E19</f>
        <v>14.8989742857664</v>
      </c>
      <c r="AD19" s="219" t="n">
        <f aca="false">Algae_electricity_factor/H19</f>
        <v>0.00183873130022467</v>
      </c>
      <c r="AE19" s="220" t="n">
        <f aca="false">Algae_electricity_factor/I19</f>
        <v>0.00183873130022467</v>
      </c>
      <c r="AF19" s="220" t="n">
        <f aca="false">Algae_electricity_factor/J19</f>
        <v>0.00183873130022467</v>
      </c>
      <c r="AG19" s="220" t="n">
        <f aca="false">Algae_electricity_factor/K19</f>
        <v>0.00183873130022467</v>
      </c>
      <c r="AH19" s="220" t="n">
        <f aca="false">Algae_electricity_factor/L19</f>
        <v>0.00183873130022467</v>
      </c>
      <c r="AI19" s="220" t="n">
        <f aca="false">Algae_electricity_factor/M19</f>
        <v>0.00175547630368011</v>
      </c>
      <c r="AJ19" s="220" t="n">
        <f aca="false">Algae_electricity_factor/N19</f>
        <v>0.00170908334794495</v>
      </c>
      <c r="AK19" s="220" t="n">
        <f aca="false">Algae_electricity_factor/O19</f>
        <v>0.00164289358439356</v>
      </c>
      <c r="AL19" s="220" t="n">
        <f aca="false">Algae_electricity_factor/P19</f>
        <v>0.00155505041392002</v>
      </c>
      <c r="AM19" s="220" t="n">
        <f aca="false">Algae_electricity_factor/Q19</f>
        <v>0.00144902772441576</v>
      </c>
      <c r="AN19" s="220" t="n">
        <f aca="false">Algae_electricity_factor/R19</f>
        <v>0.00133479275194749</v>
      </c>
      <c r="AO19" s="220" t="n">
        <f aca="false">Algae_electricity_factor/S19</f>
        <v>0.00122582086681644</v>
      </c>
      <c r="AP19" s="220" t="n">
        <f aca="false">Algae_electricity_factor/T19</f>
        <v>0.00113329885369922</v>
      </c>
      <c r="AQ19" s="220" t="n">
        <f aca="false">Algae_electricity_factor/U19</f>
        <v>0.00106220050720633</v>
      </c>
      <c r="AR19" s="220" t="n">
        <f aca="false">Algae_electricity_factor/V19</f>
        <v>0.00101164014146773</v>
      </c>
      <c r="AS19" s="220" t="n">
        <f aca="false">Algae_electricity_factor/W19</f>
        <v>0.000977634068956315</v>
      </c>
      <c r="AT19" s="220" t="n">
        <f aca="false">Algae_electricity_factor/X19</f>
        <v>0.000955611109915466</v>
      </c>
      <c r="AU19" s="220" t="n">
        <f aca="false">Algae_electricity_factor/Y19</f>
        <v>0.00094169602831774</v>
      </c>
      <c r="AV19" s="220" t="n">
        <f aca="false">Algae_electricity_factor/Z19</f>
        <v>0.000933040397833144</v>
      </c>
      <c r="AW19" s="220" t="n">
        <f aca="false">Algae_electricity_factor/AA19</f>
        <v>0.000927708631224759</v>
      </c>
      <c r="AX19" s="220" t="n">
        <f aca="false">Algae_electricity_factor/AB19</f>
        <v>0.00092444405702218</v>
      </c>
      <c r="AY19" s="220" t="n">
        <f aca="false">Algae_electricity_factor/AC19</f>
        <v>0.000922452568876439</v>
      </c>
      <c r="AZ19" s="211" t="n">
        <f aca="false">Algae_yield_cost_factor/H19</f>
        <v>0.101791774605153</v>
      </c>
      <c r="BA19" s="18" t="n">
        <f aca="false">Algae_yield_cost_factor/I19</f>
        <v>0.101791774605153</v>
      </c>
      <c r="BB19" s="18" t="n">
        <f aca="false">Algae_yield_cost_factor/J19</f>
        <v>0.101791774605153</v>
      </c>
      <c r="BC19" s="18" t="n">
        <f aca="false">Algae_yield_cost_factor/K19</f>
        <v>0.101791774605153</v>
      </c>
      <c r="BD19" s="18" t="n">
        <f aca="false">Algae_yield_cost_factor/L19</f>
        <v>0.101791774605153</v>
      </c>
      <c r="BE19" s="18" t="n">
        <f aca="false">Algae_yield_cost_factor/M19</f>
        <v>0.0971827956629985</v>
      </c>
      <c r="BF19" s="18" t="n">
        <f aca="false">Algae_yield_cost_factor/N19</f>
        <v>0.0946144914779969</v>
      </c>
      <c r="BG19" s="18" t="n">
        <f aca="false">Algae_yield_cost_factor/O19</f>
        <v>0.0909502402131341</v>
      </c>
      <c r="BH19" s="18" t="n">
        <f aca="false">Algae_yield_cost_factor/P19</f>
        <v>0.0860872609358723</v>
      </c>
      <c r="BI19" s="18" t="n">
        <f aca="false">Algae_yield_cost_factor/Q19</f>
        <v>0.0802178673427298</v>
      </c>
      <c r="BJ19" s="18" t="n">
        <f aca="false">Algae_yield_cost_factor/R19</f>
        <v>0.0738938435073302</v>
      </c>
      <c r="BK19" s="18" t="n">
        <f aca="false">Algae_yield_cost_factor/S19</f>
        <v>0.0678611830701022</v>
      </c>
      <c r="BL19" s="18" t="n">
        <f aca="false">Algae_yield_cost_factor/T19</f>
        <v>0.0627391840569279</v>
      </c>
      <c r="BM19" s="18" t="n">
        <f aca="false">Algae_yield_cost_factor/U19</f>
        <v>0.0588031946820155</v>
      </c>
      <c r="BN19" s="18" t="n">
        <f aca="false">Algae_yield_cost_factor/V19</f>
        <v>0.0560041835635396</v>
      </c>
      <c r="BO19" s="18" t="n">
        <f aca="false">Algae_yield_cost_factor/W19</f>
        <v>0.0541216146053319</v>
      </c>
      <c r="BP19" s="18" t="n">
        <f aca="false">Algae_yield_cost_factor/X19</f>
        <v>0.0529024282660605</v>
      </c>
      <c r="BQ19" s="18" t="n">
        <f aca="false">Algae_yield_cost_factor/Y19</f>
        <v>0.0521320923015642</v>
      </c>
      <c r="BR19" s="18" t="n">
        <f aca="false">Algae_yield_cost_factor/Z19</f>
        <v>0.0516529184346453</v>
      </c>
      <c r="BS19" s="18" t="n">
        <f aca="false">Algae_yield_cost_factor/AA19</f>
        <v>0.0513577529665958</v>
      </c>
      <c r="BT19" s="18" t="n">
        <f aca="false">Algae_yield_cost_factor/AB19</f>
        <v>0.0511770268314775</v>
      </c>
      <c r="BU19" s="18" t="n">
        <f aca="false">Algae_yield_cost_factor/AC19</f>
        <v>0.0510667784703193</v>
      </c>
    </row>
    <row r="20" customFormat="false" ht="15" hidden="false" customHeight="false" outlineLevel="0" collapsed="false">
      <c r="A20" s="18" t="s">
        <v>689</v>
      </c>
      <c r="B20" s="18" t="s">
        <v>22</v>
      </c>
      <c r="C20" s="18" t="s">
        <v>685</v>
      </c>
      <c r="D20" s="18" t="s">
        <v>685</v>
      </c>
      <c r="E20" s="185" t="n">
        <v>7.68075</v>
      </c>
      <c r="F20" s="18" t="n">
        <f aca="false">E20/$B$2*$F$3/1000</f>
        <v>0.0188178375</v>
      </c>
      <c r="G20" s="18" t="n">
        <f aca="false">LOOKUP(RIGHT(D20,5),Ref!$C$4:$C$21,Ref!$E$4:$E$21)*$G$3</f>
        <v>4</v>
      </c>
      <c r="H20" s="222" t="n">
        <f aca="false">$E20</f>
        <v>7.68075</v>
      </c>
      <c r="I20" s="185" t="n">
        <f aca="false">$E20</f>
        <v>7.68075</v>
      </c>
      <c r="J20" s="185" t="n">
        <f aca="false">$E20</f>
        <v>7.68075</v>
      </c>
      <c r="K20" s="185" t="n">
        <f aca="false">$E20</f>
        <v>7.68075</v>
      </c>
      <c r="L20" s="185" t="n">
        <f aca="false">$E20</f>
        <v>7.68075</v>
      </c>
      <c r="M20" s="185" t="n">
        <f aca="false">M$3*$E20</f>
        <v>8.0450162754086</v>
      </c>
      <c r="N20" s="185" t="n">
        <f aca="false">N$3*$E20</f>
        <v>8.26339771619817</v>
      </c>
      <c r="O20" s="185" t="n">
        <f aca="false">O$3*$E20</f>
        <v>8.59631784332138</v>
      </c>
      <c r="P20" s="185" t="n">
        <f aca="false">P$3*$E20</f>
        <v>9.08191484197567</v>
      </c>
      <c r="Q20" s="185" t="n">
        <f aca="false">Q$3*$E20</f>
        <v>9.74642182218759</v>
      </c>
      <c r="R20" s="185" t="n">
        <f aca="false">R$3*$E20</f>
        <v>10.5805454918714</v>
      </c>
      <c r="S20" s="185" t="n">
        <f aca="false">S$3*$E20</f>
        <v>11.521125</v>
      </c>
      <c r="T20" s="185" t="n">
        <f aca="false">T$3*$E20</f>
        <v>12.4617045081286</v>
      </c>
      <c r="U20" s="185" t="n">
        <f aca="false">U$3*$E20</f>
        <v>13.2958281778124</v>
      </c>
      <c r="V20" s="185" t="n">
        <f aca="false">V$3*$E20</f>
        <v>13.9603351580243</v>
      </c>
      <c r="W20" s="185" t="n">
        <f aca="false">W$3*$E20</f>
        <v>14.4459321566786</v>
      </c>
      <c r="X20" s="185" t="n">
        <f aca="false">X$3*$E20</f>
        <v>14.7788522838018</v>
      </c>
      <c r="Y20" s="185" t="n">
        <f aca="false">Y$3*$E20</f>
        <v>14.9972337245914</v>
      </c>
      <c r="Z20" s="185" t="n">
        <f aca="false">Z$3*$E20</f>
        <v>15.1363600836565</v>
      </c>
      <c r="AA20" s="185" t="n">
        <f aca="false">AA$3*$E20</f>
        <v>15.2233524178337</v>
      </c>
      <c r="AB20" s="185" t="n">
        <f aca="false">AB$3*$E20</f>
        <v>15.2771120403901</v>
      </c>
      <c r="AC20" s="185" t="n">
        <f aca="false">AC$3*$E20</f>
        <v>15.3100938852633</v>
      </c>
      <c r="AD20" s="219" t="n">
        <f aca="false">Algae_electricity_factor/H20</f>
        <v>0.0017893561310457</v>
      </c>
      <c r="AE20" s="220" t="n">
        <f aca="false">Algae_electricity_factor/I20</f>
        <v>0.0017893561310457</v>
      </c>
      <c r="AF20" s="220" t="n">
        <f aca="false">Algae_electricity_factor/J20</f>
        <v>0.0017893561310457</v>
      </c>
      <c r="AG20" s="220" t="n">
        <f aca="false">Algae_electricity_factor/K20</f>
        <v>0.0017893561310457</v>
      </c>
      <c r="AH20" s="220" t="n">
        <f aca="false">Algae_electricity_factor/L20</f>
        <v>0.0017893561310457</v>
      </c>
      <c r="AI20" s="220" t="n">
        <f aca="false">Algae_electricity_factor/M20</f>
        <v>0.00170833676813553</v>
      </c>
      <c r="AJ20" s="220" t="n">
        <f aca="false">Algae_electricity_factor/N20</f>
        <v>0.00166318959531485</v>
      </c>
      <c r="AK20" s="220" t="n">
        <f aca="false">Algae_electricity_factor/O20</f>
        <v>0.00159877721531747</v>
      </c>
      <c r="AL20" s="220" t="n">
        <f aca="false">Algae_electricity_factor/P20</f>
        <v>0.00151329288400809</v>
      </c>
      <c r="AM20" s="220" t="n">
        <f aca="false">Algae_electricity_factor/Q20</f>
        <v>0.00141011720550019</v>
      </c>
      <c r="AN20" s="220" t="n">
        <f aca="false">Algae_electricity_factor/R20</f>
        <v>0.00129894976720132</v>
      </c>
      <c r="AO20" s="220" t="n">
        <f aca="false">Algae_electricity_factor/S20</f>
        <v>0.0011929040873638</v>
      </c>
      <c r="AP20" s="220" t="n">
        <f aca="false">Algae_electricity_factor/T20</f>
        <v>0.00110286655365359</v>
      </c>
      <c r="AQ20" s="220" t="n">
        <f aca="false">Algae_electricity_factor/U20</f>
        <v>0.00103367740013849</v>
      </c>
      <c r="AR20" s="220" t="n">
        <f aca="false">Algae_electricity_factor/V20</f>
        <v>0.00098447472413508</v>
      </c>
      <c r="AS20" s="220" t="n">
        <f aca="false">Algae_electricity_factor/W20</f>
        <v>0.000951381811465544</v>
      </c>
      <c r="AT20" s="220" t="n">
        <f aca="false">Algae_electricity_factor/X20</f>
        <v>0.00092995023156113</v>
      </c>
      <c r="AU20" s="220" t="n">
        <f aca="false">Algae_electricity_factor/Y20</f>
        <v>0.000916408809512216</v>
      </c>
      <c r="AV20" s="220" t="n">
        <f aca="false">Algae_electricity_factor/Z20</f>
        <v>0.000907985607343532</v>
      </c>
      <c r="AW20" s="220" t="n">
        <f aca="false">Algae_electricity_factor/AA20</f>
        <v>0.000902797013844932</v>
      </c>
      <c r="AX20" s="220" t="n">
        <f aca="false">Algae_electricity_factor/AB20</f>
        <v>0.000899620102751982</v>
      </c>
      <c r="AY20" s="220" t="n">
        <f aca="false">Algae_electricity_factor/AC20</f>
        <v>0.000897682091731529</v>
      </c>
      <c r="AZ20" s="211" t="n">
        <f aca="false">Algae_yield_cost_factor/H20</f>
        <v>0.0990583757167227</v>
      </c>
      <c r="BA20" s="18" t="n">
        <f aca="false">Algae_yield_cost_factor/I20</f>
        <v>0.0990583757167227</v>
      </c>
      <c r="BB20" s="18" t="n">
        <f aca="false">Algae_yield_cost_factor/J20</f>
        <v>0.0990583757167227</v>
      </c>
      <c r="BC20" s="18" t="n">
        <f aca="false">Algae_yield_cost_factor/K20</f>
        <v>0.0990583757167227</v>
      </c>
      <c r="BD20" s="18" t="n">
        <f aca="false">Algae_yield_cost_factor/L20</f>
        <v>0.0990583757167227</v>
      </c>
      <c r="BE20" s="18" t="n">
        <f aca="false">Algae_yield_cost_factor/M20</f>
        <v>0.0945731609781704</v>
      </c>
      <c r="BF20" s="18" t="n">
        <f aca="false">Algae_yield_cost_factor/N20</f>
        <v>0.0920738230709616</v>
      </c>
      <c r="BG20" s="18" t="n">
        <f aca="false">Algae_yield_cost_factor/O20</f>
        <v>0.0885079673824914</v>
      </c>
      <c r="BH20" s="18" t="n">
        <f aca="false">Algae_yield_cost_factor/P20</f>
        <v>0.0837755729408166</v>
      </c>
      <c r="BI20" s="18" t="n">
        <f aca="false">Algae_yield_cost_factor/Q20</f>
        <v>0.078063789272302</v>
      </c>
      <c r="BJ20" s="18" t="n">
        <f aca="false">Algae_yield_cost_factor/R20</f>
        <v>0.0719095834775953</v>
      </c>
      <c r="BK20" s="18" t="n">
        <f aca="false">Algae_yield_cost_factor/S20</f>
        <v>0.0660389171444818</v>
      </c>
      <c r="BL20" s="18" t="n">
        <f aca="false">Algae_yield_cost_factor/T20</f>
        <v>0.061054458384078</v>
      </c>
      <c r="BM20" s="18" t="n">
        <f aca="false">Algae_yield_cost_factor/U20</f>
        <v>0.057224161527289</v>
      </c>
      <c r="BN20" s="18" t="n">
        <f aca="false">Algae_yield_cost_factor/V20</f>
        <v>0.0545003118244543</v>
      </c>
      <c r="BO20" s="18" t="n">
        <f aca="false">Algae_yield_cost_factor/W20</f>
        <v>0.0526682952013219</v>
      </c>
      <c r="BP20" s="18" t="n">
        <f aca="false">Algae_yield_cost_factor/X20</f>
        <v>0.051481847485554</v>
      </c>
      <c r="BQ20" s="18" t="n">
        <f aca="false">Algae_yield_cost_factor/Y20</f>
        <v>0.0507321972343901</v>
      </c>
      <c r="BR20" s="18" t="n">
        <f aca="false">Algae_yield_cost_factor/Z20</f>
        <v>0.0502658905497192</v>
      </c>
      <c r="BS20" s="18" t="n">
        <f aca="false">Algae_yield_cost_factor/AA20</f>
        <v>0.0499786511146464</v>
      </c>
      <c r="BT20" s="18" t="n">
        <f aca="false">Algae_yield_cost_factor/AB20</f>
        <v>0.0498027779906752</v>
      </c>
      <c r="BU20" s="18" t="n">
        <f aca="false">Algae_yield_cost_factor/AC20</f>
        <v>0.0496954901118252</v>
      </c>
    </row>
    <row r="21" customFormat="false" ht="15" hidden="false" customHeight="false" outlineLevel="0" collapsed="false">
      <c r="A21" s="18" t="s">
        <v>689</v>
      </c>
      <c r="B21" s="18" t="s">
        <v>22</v>
      </c>
      <c r="C21" s="18" t="s">
        <v>686</v>
      </c>
      <c r="D21" s="18" t="s">
        <v>686</v>
      </c>
      <c r="E21" s="185" t="n">
        <v>8.70375</v>
      </c>
      <c r="F21" s="18" t="n">
        <f aca="false">E21/$B$2*$F$3/1000</f>
        <v>0.0213241875</v>
      </c>
      <c r="G21" s="18" t="n">
        <f aca="false">LOOKUP(RIGHT(D21,5),Ref!$C$4:$C$21,Ref!$E$4:$E$21)*$G$3</f>
        <v>4.5</v>
      </c>
      <c r="H21" s="222" t="n">
        <f aca="false">$E21</f>
        <v>8.70375</v>
      </c>
      <c r="I21" s="185" t="n">
        <f aca="false">$E21</f>
        <v>8.70375</v>
      </c>
      <c r="J21" s="185" t="n">
        <f aca="false">$E21</f>
        <v>8.70375</v>
      </c>
      <c r="K21" s="185" t="n">
        <f aca="false">$E21</f>
        <v>8.70375</v>
      </c>
      <c r="L21" s="185" t="n">
        <f aca="false">$E21</f>
        <v>8.70375</v>
      </c>
      <c r="M21" s="185" t="n">
        <f aca="false">M$3*$E21</f>
        <v>9.11653294366925</v>
      </c>
      <c r="N21" s="185" t="n">
        <f aca="false">N$3*$E21</f>
        <v>9.3640006343599</v>
      </c>
      <c r="O21" s="185" t="n">
        <f aca="false">O$3*$E21</f>
        <v>9.74126243255001</v>
      </c>
      <c r="P21" s="185" t="n">
        <f aca="false">P$3*$E21</f>
        <v>10.2915361528296</v>
      </c>
      <c r="Q21" s="185" t="n">
        <f aca="false">Q$3*$E21</f>
        <v>11.0445488962491</v>
      </c>
      <c r="R21" s="185" t="n">
        <f aca="false">R$3*$E21</f>
        <v>11.9897695960519</v>
      </c>
      <c r="S21" s="185" t="n">
        <f aca="false">S$3*$E21</f>
        <v>13.055625</v>
      </c>
      <c r="T21" s="185" t="n">
        <f aca="false">T$3*$E21</f>
        <v>14.1214804039481</v>
      </c>
      <c r="U21" s="185" t="n">
        <f aca="false">U$3*$E21</f>
        <v>15.0667011037509</v>
      </c>
      <c r="V21" s="185" t="n">
        <f aca="false">V$3*$E21</f>
        <v>15.8197138471704</v>
      </c>
      <c r="W21" s="185" t="n">
        <f aca="false">W$3*$E21</f>
        <v>16.36998756745</v>
      </c>
      <c r="X21" s="185" t="n">
        <f aca="false">X$3*$E21</f>
        <v>16.7472493656401</v>
      </c>
      <c r="Y21" s="185" t="n">
        <f aca="false">Y$3*$E21</f>
        <v>16.9947170563308</v>
      </c>
      <c r="Z21" s="185" t="n">
        <f aca="false">Z$3*$E21</f>
        <v>17.1523736715979</v>
      </c>
      <c r="AA21" s="185" t="n">
        <f aca="false">AA$3*$E21</f>
        <v>17.2509525250424</v>
      </c>
      <c r="AB21" s="185" t="n">
        <f aca="false">AB$3*$E21</f>
        <v>17.311872398079</v>
      </c>
      <c r="AC21" s="185" t="n">
        <f aca="false">AC$3*$E21</f>
        <v>17.3492470987678</v>
      </c>
      <c r="AD21" s="219" t="n">
        <f aca="false">Algae_electricity_factor/H21</f>
        <v>0.00157904318294175</v>
      </c>
      <c r="AE21" s="220" t="n">
        <f aca="false">Algae_electricity_factor/I21</f>
        <v>0.00157904318294175</v>
      </c>
      <c r="AF21" s="220" t="n">
        <f aca="false">Algae_electricity_factor/J21</f>
        <v>0.00157904318294175</v>
      </c>
      <c r="AG21" s="220" t="n">
        <f aca="false">Algae_electricity_factor/K21</f>
        <v>0.00157904318294175</v>
      </c>
      <c r="AH21" s="220" t="n">
        <f aca="false">Algae_electricity_factor/L21</f>
        <v>0.00157904318294175</v>
      </c>
      <c r="AI21" s="220" t="n">
        <f aca="false">Algae_electricity_factor/M21</f>
        <v>0.0015075464750087</v>
      </c>
      <c r="AJ21" s="220" t="n">
        <f aca="false">Algae_electricity_factor/N21</f>
        <v>0.00146770569975178</v>
      </c>
      <c r="AK21" s="220" t="n">
        <f aca="false">Algae_electricity_factor/O21</f>
        <v>0.00141086406394367</v>
      </c>
      <c r="AL21" s="220" t="n">
        <f aca="false">Algae_electricity_factor/P21</f>
        <v>0.00133542718010572</v>
      </c>
      <c r="AM21" s="220" t="n">
        <f aca="false">Algae_electricity_factor/Q21</f>
        <v>0.00124437831120444</v>
      </c>
      <c r="AN21" s="220" t="n">
        <f aca="false">Algae_electricity_factor/R21</f>
        <v>0.00114627699835491</v>
      </c>
      <c r="AO21" s="220" t="n">
        <f aca="false">Algae_electricity_factor/S21</f>
        <v>0.0010526954552945</v>
      </c>
      <c r="AP21" s="220" t="n">
        <f aca="false">Algae_electricity_factor/T21</f>
        <v>0.00097324053218151</v>
      </c>
      <c r="AQ21" s="220" t="n">
        <f aca="false">Algae_electricity_factor/U21</f>
        <v>0.000912183563534538</v>
      </c>
      <c r="AR21" s="220" t="n">
        <f aca="false">Algae_electricity_factor/V21</f>
        <v>0.00086876395087181</v>
      </c>
      <c r="AS21" s="220" t="n">
        <f aca="false">Algae_electricity_factor/W21</f>
        <v>0.00083956063172931</v>
      </c>
      <c r="AT21" s="220" t="n">
        <f aca="false">Algae_electricity_factor/X21</f>
        <v>0.00082064802424968</v>
      </c>
      <c r="AU21" s="220" t="n">
        <f aca="false">Algae_electricity_factor/Y21</f>
        <v>0.00080869820062168</v>
      </c>
      <c r="AV21" s="220" t="n">
        <f aca="false">Algae_electricity_factor/Z21</f>
        <v>0.000801265024110738</v>
      </c>
      <c r="AW21" s="220" t="n">
        <f aca="false">Algae_electricity_factor/AA21</f>
        <v>0.000796686274776902</v>
      </c>
      <c r="AX21" s="220" t="n">
        <f aca="false">Algae_electricity_factor/AB21</f>
        <v>0.000793882763660754</v>
      </c>
      <c r="AY21" s="220" t="n">
        <f aca="false">Algae_electricity_factor/AC21</f>
        <v>0.000792172537821852</v>
      </c>
      <c r="AZ21" s="211" t="n">
        <f aca="false">Algae_yield_cost_factor/H21</f>
        <v>0.0874154955376956</v>
      </c>
      <c r="BA21" s="18" t="n">
        <f aca="false">Algae_yield_cost_factor/I21</f>
        <v>0.0874154955376956</v>
      </c>
      <c r="BB21" s="18" t="n">
        <f aca="false">Algae_yield_cost_factor/J21</f>
        <v>0.0874154955376956</v>
      </c>
      <c r="BC21" s="18" t="n">
        <f aca="false">Algae_yield_cost_factor/K21</f>
        <v>0.0874154955376956</v>
      </c>
      <c r="BD21" s="18" t="n">
        <f aca="false">Algae_yield_cost_factor/L21</f>
        <v>0.0874154955376956</v>
      </c>
      <c r="BE21" s="18" t="n">
        <f aca="false">Algae_yield_cost_factor/M21</f>
        <v>0.0834574529579873</v>
      </c>
      <c r="BF21" s="18" t="n">
        <f aca="false">Algae_yield_cost_factor/N21</f>
        <v>0.0812518760939007</v>
      </c>
      <c r="BG21" s="18" t="n">
        <f aca="false">Algae_yield_cost_factor/O21</f>
        <v>0.0781051351972507</v>
      </c>
      <c r="BH21" s="18" t="n">
        <f aca="false">Algae_yield_cost_factor/P21</f>
        <v>0.0739289653155453</v>
      </c>
      <c r="BI21" s="18" t="n">
        <f aca="false">Algae_yield_cost_factor/Q21</f>
        <v>0.068888519253567</v>
      </c>
      <c r="BJ21" s="18" t="n">
        <f aca="false">Algae_yield_cost_factor/R21</f>
        <v>0.0634576513911291</v>
      </c>
      <c r="BK21" s="18" t="n">
        <f aca="false">Algae_yield_cost_factor/S21</f>
        <v>0.0582769970251304</v>
      </c>
      <c r="BL21" s="18" t="n">
        <f aca="false">Algae_yield_cost_factor/T21</f>
        <v>0.0538783893417788</v>
      </c>
      <c r="BM21" s="18" t="n">
        <f aca="false">Algae_yield_cost_factor/U21</f>
        <v>0.050498288513655</v>
      </c>
      <c r="BN21" s="18" t="n">
        <f aca="false">Algae_yield_cost_factor/V21</f>
        <v>0.0480945879702056</v>
      </c>
      <c r="BO21" s="18" t="n">
        <f aca="false">Algae_yield_cost_factor/W21</f>
        <v>0.0464778984193656</v>
      </c>
      <c r="BP21" s="18" t="n">
        <f aca="false">Algae_yield_cost_factor/X21</f>
        <v>0.0454309004825126</v>
      </c>
      <c r="BQ21" s="18" t="n">
        <f aca="false">Algae_yield_cost_factor/Y21</f>
        <v>0.0447693607821964</v>
      </c>
      <c r="BR21" s="18" t="n">
        <f aca="false">Algae_yield_cost_factor/Z21</f>
        <v>0.0443578617078565</v>
      </c>
      <c r="BS21" s="18" t="n">
        <f aca="false">Algae_yield_cost_factor/AA21</f>
        <v>0.0441043831163373</v>
      </c>
      <c r="BT21" s="18" t="n">
        <f aca="false">Algae_yield_cost_factor/AB21</f>
        <v>0.043949181335847</v>
      </c>
      <c r="BU21" s="18" t="n">
        <f aca="false">Algae_yield_cost_factor/AC21</f>
        <v>0.0438545035963121</v>
      </c>
    </row>
    <row r="22" customFormat="false" ht="15" hidden="false" customHeight="false" outlineLevel="0" collapsed="false">
      <c r="A22" s="18" t="s">
        <v>689</v>
      </c>
      <c r="B22" s="18" t="s">
        <v>22</v>
      </c>
      <c r="C22" s="18" t="s">
        <v>687</v>
      </c>
      <c r="D22" s="18" t="s">
        <v>687</v>
      </c>
      <c r="E22" s="185" t="n">
        <v>7.82925</v>
      </c>
      <c r="F22" s="18" t="n">
        <f aca="false">E22/$B$2*$F$3/1000</f>
        <v>0.0191816625</v>
      </c>
      <c r="G22" s="18" t="n">
        <f aca="false">LOOKUP(RIGHT(D22,5),Ref!$C$4:$C$21,Ref!$E$4:$E$21)*$G$3</f>
        <v>4.5</v>
      </c>
      <c r="H22" s="222" t="n">
        <f aca="false">$E22</f>
        <v>7.82925</v>
      </c>
      <c r="I22" s="185" t="n">
        <f aca="false">$E22</f>
        <v>7.82925</v>
      </c>
      <c r="J22" s="185" t="n">
        <f aca="false">$E22</f>
        <v>7.82925</v>
      </c>
      <c r="K22" s="185" t="n">
        <f aca="false">$E22</f>
        <v>7.82925</v>
      </c>
      <c r="L22" s="185" t="n">
        <f aca="false">$E22</f>
        <v>7.82925</v>
      </c>
      <c r="M22" s="185" t="n">
        <f aca="false">M$3*$E22</f>
        <v>8.20055901757547</v>
      </c>
      <c r="N22" s="185" t="n">
        <f aca="false">N$3*$E22</f>
        <v>8.42316265593132</v>
      </c>
      <c r="O22" s="185" t="n">
        <f aca="false">O$3*$E22</f>
        <v>8.76251947724166</v>
      </c>
      <c r="P22" s="185" t="n">
        <f aca="false">P$3*$E22</f>
        <v>9.25750503226092</v>
      </c>
      <c r="Q22" s="185" t="n">
        <f aca="false">Q$3*$E22</f>
        <v>9.93485962326104</v>
      </c>
      <c r="R22" s="185" t="n">
        <f aca="false">R$3*$E22</f>
        <v>10.7851102811879</v>
      </c>
      <c r="S22" s="185" t="n">
        <f aca="false">S$3*$E22</f>
        <v>11.743875</v>
      </c>
      <c r="T22" s="185" t="n">
        <f aca="false">T$3*$E22</f>
        <v>12.7026397188121</v>
      </c>
      <c r="U22" s="185" t="n">
        <f aca="false">U$3*$E22</f>
        <v>13.552890376739</v>
      </c>
      <c r="V22" s="185" t="n">
        <f aca="false">V$3*$E22</f>
        <v>14.2302449677391</v>
      </c>
      <c r="W22" s="185" t="n">
        <f aca="false">W$3*$E22</f>
        <v>14.7252305227583</v>
      </c>
      <c r="X22" s="185" t="n">
        <f aca="false">X$3*$E22</f>
        <v>15.0645873440687</v>
      </c>
      <c r="Y22" s="185" t="n">
        <f aca="false">Y$3*$E22</f>
        <v>15.2871909824245</v>
      </c>
      <c r="Z22" s="185" t="n">
        <f aca="false">Z$3*$E22</f>
        <v>15.4290072173899</v>
      </c>
      <c r="AA22" s="185" t="n">
        <f aca="false">AA$3*$E22</f>
        <v>15.5176814656543</v>
      </c>
      <c r="AB22" s="185" t="n">
        <f aca="false">AB$3*$E22</f>
        <v>15.5724804794094</v>
      </c>
      <c r="AC22" s="185" t="n">
        <f aca="false">AC$3*$E22</f>
        <v>15.606099996901</v>
      </c>
      <c r="AD22" s="219" t="n">
        <f aca="false">Algae_electricity_factor/H22</f>
        <v>0.0017554168155991</v>
      </c>
      <c r="AE22" s="220" t="n">
        <f aca="false">Algae_electricity_factor/I22</f>
        <v>0.0017554168155991</v>
      </c>
      <c r="AF22" s="220" t="n">
        <f aca="false">Algae_electricity_factor/J22</f>
        <v>0.0017554168155991</v>
      </c>
      <c r="AG22" s="220" t="n">
        <f aca="false">Algae_electricity_factor/K22</f>
        <v>0.0017554168155991</v>
      </c>
      <c r="AH22" s="220" t="n">
        <f aca="false">Algae_electricity_factor/L22</f>
        <v>0.0017554168155991</v>
      </c>
      <c r="AI22" s="220" t="n">
        <f aca="false">Algae_electricity_factor/M22</f>
        <v>0.00167593417400862</v>
      </c>
      <c r="AJ22" s="220" t="n">
        <f aca="false">Algae_electricity_factor/N22</f>
        <v>0.0016316433226956</v>
      </c>
      <c r="AK22" s="220" t="n">
        <f aca="false">Algae_electricity_factor/O22</f>
        <v>0.00156845267382568</v>
      </c>
      <c r="AL22" s="220" t="n">
        <f aca="false">Algae_electricity_factor/P22</f>
        <v>0.00148458975238307</v>
      </c>
      <c r="AM22" s="220" t="n">
        <f aca="false">Algae_electricity_factor/Q22</f>
        <v>0.0013833710414338</v>
      </c>
      <c r="AN22" s="220" t="n">
        <f aca="false">Algae_electricity_factor/R22</f>
        <v>0.00127431215307105</v>
      </c>
      <c r="AO22" s="220" t="n">
        <f aca="false">Algae_electricity_factor/S22</f>
        <v>0.00117027787706607</v>
      </c>
      <c r="AP22" s="220" t="n">
        <f aca="false">Algae_electricity_factor/T22</f>
        <v>0.0010819481153335</v>
      </c>
      <c r="AQ22" s="220" t="n">
        <f aca="false">Algae_electricity_factor/U22</f>
        <v>0.00101407129560478</v>
      </c>
      <c r="AR22" s="220" t="n">
        <f aca="false">Algae_electricity_factor/V22</f>
        <v>0.000965801863192581</v>
      </c>
      <c r="AS22" s="220" t="n">
        <f aca="false">Algae_electricity_factor/W22</f>
        <v>0.000933336634851867</v>
      </c>
      <c r="AT22" s="220" t="n">
        <f aca="false">Algae_electricity_factor/X22</f>
        <v>0.000912311554882416</v>
      </c>
      <c r="AU22" s="220" t="n">
        <f aca="false">Algae_electricity_factor/Y22</f>
        <v>0.000899026977508823</v>
      </c>
      <c r="AV22" s="220" t="n">
        <f aca="false">Algae_electricity_factor/Z22</f>
        <v>0.000890763541029324</v>
      </c>
      <c r="AW22" s="220" t="n">
        <f aca="false">Algae_electricity_factor/AA22</f>
        <v>0.000885673361316788</v>
      </c>
      <c r="AX22" s="220" t="n">
        <f aca="false">Algae_electricity_factor/AB22</f>
        <v>0.00088255670775774</v>
      </c>
      <c r="AY22" s="220" t="n">
        <f aca="false">Algae_electricity_factor/AC22</f>
        <v>0.000880655455639678</v>
      </c>
      <c r="AZ22" s="211" t="n">
        <f aca="false">Algae_yield_cost_factor/H22</f>
        <v>0.0971795024154571</v>
      </c>
      <c r="BA22" s="18" t="n">
        <f aca="false">Algae_yield_cost_factor/I22</f>
        <v>0.0971795024154571</v>
      </c>
      <c r="BB22" s="18" t="n">
        <f aca="false">Algae_yield_cost_factor/J22</f>
        <v>0.0971795024154571</v>
      </c>
      <c r="BC22" s="18" t="n">
        <f aca="false">Algae_yield_cost_factor/K22</f>
        <v>0.0971795024154571</v>
      </c>
      <c r="BD22" s="18" t="n">
        <f aca="false">Algae_yield_cost_factor/L22</f>
        <v>0.0971795024154571</v>
      </c>
      <c r="BE22" s="18" t="n">
        <f aca="false">Algae_yield_cost_factor/M22</f>
        <v>0.0927793602430734</v>
      </c>
      <c r="BF22" s="18" t="n">
        <f aca="false">Algae_yield_cost_factor/N22</f>
        <v>0.090327428112819</v>
      </c>
      <c r="BG22" s="18" t="n">
        <f aca="false">Algae_yield_cost_factor/O22</f>
        <v>0.0868292072003156</v>
      </c>
      <c r="BH22" s="18" t="n">
        <f aca="false">Algae_yield_cost_factor/P22</f>
        <v>0.0821865736648053</v>
      </c>
      <c r="BI22" s="18" t="n">
        <f aca="false">Algae_yield_cost_factor/Q22</f>
        <v>0.0765831273050718</v>
      </c>
      <c r="BJ22" s="18" t="n">
        <f aca="false">Algae_yield_cost_factor/R22</f>
        <v>0.0705456503873985</v>
      </c>
      <c r="BK22" s="18" t="n">
        <f aca="false">Algae_yield_cost_factor/S22</f>
        <v>0.0647863349436381</v>
      </c>
      <c r="BL22" s="18" t="n">
        <f aca="false">Algae_yield_cost_factor/T22</f>
        <v>0.0598964180775307</v>
      </c>
      <c r="BM22" s="18" t="n">
        <f aca="false">Algae_yield_cost_factor/U22</f>
        <v>0.0561387717406808</v>
      </c>
      <c r="BN22" s="18" t="n">
        <f aca="false">Algae_yield_cost_factor/V22</f>
        <v>0.0534665862050231</v>
      </c>
      <c r="BO22" s="18" t="n">
        <f aca="false">Algae_yield_cost_factor/W22</f>
        <v>0.0516693180531409</v>
      </c>
      <c r="BP22" s="18" t="n">
        <f aca="false">Algae_yield_cost_factor/X22</f>
        <v>0.050505374087514</v>
      </c>
      <c r="BQ22" s="18" t="n">
        <f aca="false">Algae_yield_cost_factor/Y22</f>
        <v>0.0497699427030739</v>
      </c>
      <c r="BR22" s="18" t="n">
        <f aca="false">Algae_yield_cost_factor/Z22</f>
        <v>0.0493124806130544</v>
      </c>
      <c r="BS22" s="18" t="n">
        <f aca="false">Algae_yield_cost_factor/AA22</f>
        <v>0.0490306893442949</v>
      </c>
      <c r="BT22" s="18" t="n">
        <f aca="false">Algae_yield_cost_factor/AB22</f>
        <v>0.0488581520646139</v>
      </c>
      <c r="BU22" s="18" t="n">
        <f aca="false">Algae_yield_cost_factor/AC22</f>
        <v>0.0487528991508001</v>
      </c>
    </row>
    <row r="23" customFormat="false" ht="15" hidden="false" customHeight="false" outlineLevel="0" collapsed="false">
      <c r="A23" s="18" t="s">
        <v>689</v>
      </c>
      <c r="B23" s="18" t="s">
        <v>22</v>
      </c>
      <c r="C23" s="18" t="s">
        <v>688</v>
      </c>
      <c r="D23" s="18" t="s">
        <v>688</v>
      </c>
      <c r="E23" s="185" t="n">
        <v>8.15925</v>
      </c>
      <c r="F23" s="18" t="n">
        <f aca="false">E23/$B$2*$F$3/1000</f>
        <v>0.0199901625</v>
      </c>
      <c r="G23" s="18" t="n">
        <f aca="false">LOOKUP(RIGHT(D23,5),Ref!$C$4:$C$21,Ref!$E$4:$E$21)*$G$3</f>
        <v>4.5</v>
      </c>
      <c r="H23" s="222" t="n">
        <f aca="false">$E23</f>
        <v>8.15925</v>
      </c>
      <c r="I23" s="185" t="n">
        <f aca="false">$E23</f>
        <v>8.15925</v>
      </c>
      <c r="J23" s="185" t="n">
        <f aca="false">$E23</f>
        <v>8.15925</v>
      </c>
      <c r="K23" s="185" t="n">
        <f aca="false">$E23</f>
        <v>8.15925</v>
      </c>
      <c r="L23" s="185" t="n">
        <f aca="false">$E23</f>
        <v>8.15925</v>
      </c>
      <c r="M23" s="185" t="n">
        <f aca="false">M$3*$E23</f>
        <v>8.54620955572406</v>
      </c>
      <c r="N23" s="185" t="n">
        <f aca="false">N$3*$E23</f>
        <v>8.77819585533833</v>
      </c>
      <c r="O23" s="185" t="n">
        <f aca="false">O$3*$E23</f>
        <v>9.13185644150896</v>
      </c>
      <c r="P23" s="185" t="n">
        <f aca="false">P$3*$E23</f>
        <v>9.64770545511701</v>
      </c>
      <c r="Q23" s="185" t="n">
        <f aca="false">Q$3*$E23</f>
        <v>10.3536102923131</v>
      </c>
      <c r="R23" s="185" t="n">
        <f aca="false">R$3*$E23</f>
        <v>11.2396987018913</v>
      </c>
      <c r="S23" s="185" t="n">
        <f aca="false">S$3*$E23</f>
        <v>12.238875</v>
      </c>
      <c r="T23" s="185" t="n">
        <f aca="false">T$3*$E23</f>
        <v>13.2380512981087</v>
      </c>
      <c r="U23" s="185" t="n">
        <f aca="false">U$3*$E23</f>
        <v>14.1241397076869</v>
      </c>
      <c r="V23" s="185" t="n">
        <f aca="false">V$3*$E23</f>
        <v>14.830044544883</v>
      </c>
      <c r="W23" s="185" t="n">
        <f aca="false">W$3*$E23</f>
        <v>15.345893558491</v>
      </c>
      <c r="X23" s="185" t="n">
        <f aca="false">X$3*$E23</f>
        <v>15.6995541446617</v>
      </c>
      <c r="Y23" s="185" t="n">
        <f aca="false">Y$3*$E23</f>
        <v>15.9315404442759</v>
      </c>
      <c r="Z23" s="185" t="n">
        <f aca="false">Z$3*$E23</f>
        <v>16.079334181242</v>
      </c>
      <c r="AA23" s="185" t="n">
        <f aca="false">AA$3*$E23</f>
        <v>16.1717460163668</v>
      </c>
      <c r="AB23" s="185" t="n">
        <f aca="false">AB$3*$E23</f>
        <v>16.2288547883413</v>
      </c>
      <c r="AC23" s="185" t="n">
        <f aca="false">AC$3*$E23</f>
        <v>16.263891356096</v>
      </c>
      <c r="AD23" s="219" t="n">
        <f aca="false">Algae_electricity_factor/H23</f>
        <v>0.00168441916886102</v>
      </c>
      <c r="AE23" s="220" t="n">
        <f aca="false">Algae_electricity_factor/I23</f>
        <v>0.00168441916886102</v>
      </c>
      <c r="AF23" s="220" t="n">
        <f aca="false">Algae_electricity_factor/J23</f>
        <v>0.00168441916886102</v>
      </c>
      <c r="AG23" s="220" t="n">
        <f aca="false">Algae_electricity_factor/K23</f>
        <v>0.00168441916886102</v>
      </c>
      <c r="AH23" s="220" t="n">
        <f aca="false">Algae_electricity_factor/L23</f>
        <v>0.00168441916886102</v>
      </c>
      <c r="AI23" s="220" t="n">
        <f aca="false">Algae_electricity_factor/M23</f>
        <v>0.00160815119427116</v>
      </c>
      <c r="AJ23" s="220" t="n">
        <f aca="false">Algae_electricity_factor/N23</f>
        <v>0.00156565168173723</v>
      </c>
      <c r="AK23" s="220" t="n">
        <f aca="false">Algae_electricity_factor/O23</f>
        <v>0.00150501677195204</v>
      </c>
      <c r="AL23" s="220" t="n">
        <f aca="false">Algae_electricity_factor/P23</f>
        <v>0.00142454567746363</v>
      </c>
      <c r="AM23" s="220" t="n">
        <f aca="false">Algae_electricity_factor/Q23</f>
        <v>0.00132742074653254</v>
      </c>
      <c r="AN23" s="220" t="n">
        <f aca="false">Algae_electricity_factor/R23</f>
        <v>0.00122277273333107</v>
      </c>
      <c r="AO23" s="220" t="n">
        <f aca="false">Algae_electricity_factor/S23</f>
        <v>0.00112294611257401</v>
      </c>
      <c r="AP23" s="220" t="n">
        <f aca="false">Algae_electricity_factor/T23</f>
        <v>0.00103818883867694</v>
      </c>
      <c r="AQ23" s="220" t="n">
        <f aca="false">Algae_electricity_factor/U23</f>
        <v>0.000973057289715812</v>
      </c>
      <c r="AR23" s="220" t="n">
        <f aca="false">Algae_electricity_factor/V23</f>
        <v>0.000926740109372861</v>
      </c>
      <c r="AS23" s="220" t="n">
        <f aca="false">Algae_electricity_factor/W23</f>
        <v>0.000895587933745624</v>
      </c>
      <c r="AT23" s="220" t="n">
        <f aca="false">Algae_electricity_factor/X23</f>
        <v>0.000875413210903349</v>
      </c>
      <c r="AU23" s="220" t="n">
        <f aca="false">Algae_electricity_factor/Y23</f>
        <v>0.000862665926851236</v>
      </c>
      <c r="AV23" s="220" t="n">
        <f aca="false">Algae_electricity_factor/Z23</f>
        <v>0.000854736704182839</v>
      </c>
      <c r="AW23" s="220" t="n">
        <f aca="false">Algae_electricity_factor/AA23</f>
        <v>0.000849852396248364</v>
      </c>
      <c r="AX23" s="220" t="n">
        <f aca="false">Algae_electricity_factor/AB23</f>
        <v>0.000846861795411623</v>
      </c>
      <c r="AY23" s="220" t="n">
        <f aca="false">Algae_electricity_factor/AC23</f>
        <v>0.000845037439233624</v>
      </c>
      <c r="AZ23" s="211" t="n">
        <f aca="false">Algae_yield_cost_factor/H23</f>
        <v>0.0932490877576024</v>
      </c>
      <c r="BA23" s="18" t="n">
        <f aca="false">Algae_yield_cost_factor/I23</f>
        <v>0.0932490877576024</v>
      </c>
      <c r="BB23" s="18" t="n">
        <f aca="false">Algae_yield_cost_factor/J23</f>
        <v>0.0932490877576024</v>
      </c>
      <c r="BC23" s="18" t="n">
        <f aca="false">Algae_yield_cost_factor/K23</f>
        <v>0.0932490877576024</v>
      </c>
      <c r="BD23" s="18" t="n">
        <f aca="false">Algae_yield_cost_factor/L23</f>
        <v>0.0932490877576024</v>
      </c>
      <c r="BE23" s="18" t="n">
        <f aca="false">Algae_yield_cost_factor/M23</f>
        <v>0.0890269088682271</v>
      </c>
      <c r="BF23" s="18" t="n">
        <f aca="false">Algae_yield_cost_factor/N23</f>
        <v>0.0866741448726645</v>
      </c>
      <c r="BG23" s="18" t="n">
        <f aca="false">Algae_yield_cost_factor/O23</f>
        <v>0.0833174091335688</v>
      </c>
      <c r="BH23" s="18" t="n">
        <f aca="false">Algae_yield_cost_factor/P23</f>
        <v>0.0788625464185038</v>
      </c>
      <c r="BI23" s="18" t="n">
        <f aca="false">Algae_yield_cost_factor/Q23</f>
        <v>0.0734857308518839</v>
      </c>
      <c r="BJ23" s="18" t="n">
        <f aca="false">Algae_yield_cost_factor/R23</f>
        <v>0.06769243904716</v>
      </c>
      <c r="BK23" s="18" t="n">
        <f aca="false">Algae_yield_cost_factor/S23</f>
        <v>0.0621660585050683</v>
      </c>
      <c r="BL23" s="18" t="n">
        <f aca="false">Algae_yield_cost_factor/T23</f>
        <v>0.0574739138074587</v>
      </c>
      <c r="BM23" s="18" t="n">
        <f aca="false">Algae_yield_cost_factor/U23</f>
        <v>0.0538682450777614</v>
      </c>
      <c r="BN23" s="18" t="n">
        <f aca="false">Algae_yield_cost_factor/V23</f>
        <v>0.0513041358023932</v>
      </c>
      <c r="BO23" s="18" t="n">
        <f aca="false">Algae_yield_cost_factor/W23</f>
        <v>0.0495795579701018</v>
      </c>
      <c r="BP23" s="18" t="n">
        <f aca="false">Algae_yield_cost_factor/X23</f>
        <v>0.0484626895945913</v>
      </c>
      <c r="BQ23" s="18" t="n">
        <f aca="false">Algae_yield_cost_factor/Y23</f>
        <v>0.0477570026544157</v>
      </c>
      <c r="BR23" s="18" t="n">
        <f aca="false">Algae_yield_cost_factor/Z23</f>
        <v>0.0473180425700593</v>
      </c>
      <c r="BS23" s="18" t="n">
        <f aca="false">Algae_yield_cost_factor/AA23</f>
        <v>0.0470476483192475</v>
      </c>
      <c r="BT23" s="18" t="n">
        <f aca="false">Algae_yield_cost_factor/AB23</f>
        <v>0.0468820892915254</v>
      </c>
      <c r="BU23" s="18" t="n">
        <f aca="false">Algae_yield_cost_factor/AC23</f>
        <v>0.0467810933206363</v>
      </c>
    </row>
    <row r="24" customFormat="false" ht="15" hidden="false" customHeight="false" outlineLevel="0" collapsed="false">
      <c r="A24" s="18" t="s">
        <v>695</v>
      </c>
      <c r="B24" s="18" t="s">
        <v>22</v>
      </c>
      <c r="C24" s="18" t="s">
        <v>690</v>
      </c>
      <c r="D24" s="18" t="s">
        <v>690</v>
      </c>
      <c r="E24" s="185" t="n">
        <v>8.349</v>
      </c>
      <c r="F24" s="18" t="n">
        <f aca="false">E24/$B$2*$F$3/1000</f>
        <v>0.02045505</v>
      </c>
      <c r="G24" s="18" t="n">
        <f aca="false">LOOKUP(RIGHT(D24,5),Ref!$C$4:$C$21,Ref!$E$4:$E$21)*$G$3</f>
        <v>1.5</v>
      </c>
      <c r="H24" s="222" t="n">
        <f aca="false">$E24</f>
        <v>8.349</v>
      </c>
      <c r="I24" s="185" t="n">
        <f aca="false">$E24</f>
        <v>8.349</v>
      </c>
      <c r="J24" s="185" t="n">
        <f aca="false">$E24</f>
        <v>8.349</v>
      </c>
      <c r="K24" s="185" t="n">
        <f aca="false">$E24</f>
        <v>8.349</v>
      </c>
      <c r="L24" s="185" t="n">
        <f aca="false">$E24</f>
        <v>8.349</v>
      </c>
      <c r="M24" s="185" t="n">
        <f aca="false">M$3*$E24</f>
        <v>8.7449586151595</v>
      </c>
      <c r="N24" s="185" t="n">
        <f aca="false">N$3*$E24</f>
        <v>8.98233994499736</v>
      </c>
      <c r="O24" s="185" t="n">
        <f aca="false">O$3*$E24</f>
        <v>9.34422519596266</v>
      </c>
      <c r="P24" s="185" t="n">
        <f aca="false">P$3*$E24</f>
        <v>9.87207069825927</v>
      </c>
      <c r="Q24" s="185" t="n">
        <f aca="false">Q$3*$E24</f>
        <v>10.5943919270181</v>
      </c>
      <c r="R24" s="185" t="n">
        <f aca="false">R$3*$E24</f>
        <v>11.5010870437957</v>
      </c>
      <c r="S24" s="185" t="n">
        <f aca="false">S$3*$E24</f>
        <v>12.5235</v>
      </c>
      <c r="T24" s="185" t="n">
        <f aca="false">T$3*$E24</f>
        <v>13.5459129562043</v>
      </c>
      <c r="U24" s="185" t="n">
        <f aca="false">U$3*$E24</f>
        <v>14.4526080729819</v>
      </c>
      <c r="V24" s="185" t="n">
        <f aca="false">V$3*$E24</f>
        <v>15.1749293017407</v>
      </c>
      <c r="W24" s="185" t="n">
        <f aca="false">W$3*$E24</f>
        <v>15.7027748040373</v>
      </c>
      <c r="X24" s="185" t="n">
        <f aca="false">X$3*$E24</f>
        <v>16.0646600550026</v>
      </c>
      <c r="Y24" s="185" t="n">
        <f aca="false">Y$3*$E24</f>
        <v>16.3020413848405</v>
      </c>
      <c r="Z24" s="185" t="n">
        <f aca="false">Z$3*$E24</f>
        <v>16.4532721854569</v>
      </c>
      <c r="AA24" s="185" t="n">
        <f aca="false">AA$3*$E24</f>
        <v>16.5478331330265</v>
      </c>
      <c r="AB24" s="185" t="n">
        <f aca="false">AB$3*$E24</f>
        <v>16.6062700159772</v>
      </c>
      <c r="AC24" s="185" t="n">
        <f aca="false">AC$3*$E24</f>
        <v>16.6421213876331</v>
      </c>
      <c r="AD24" s="219" t="n">
        <f aca="false">Algae_electricity_factor/H24</f>
        <v>0.00164613691502327</v>
      </c>
      <c r="AE24" s="220" t="n">
        <f aca="false">Algae_electricity_factor/I24</f>
        <v>0.00164613691502327</v>
      </c>
      <c r="AF24" s="220" t="n">
        <f aca="false">Algae_electricity_factor/J24</f>
        <v>0.00164613691502327</v>
      </c>
      <c r="AG24" s="220" t="n">
        <f aca="false">Algae_electricity_factor/K24</f>
        <v>0.00164613691502327</v>
      </c>
      <c r="AH24" s="220" t="n">
        <f aca="false">Algae_electricity_factor/L24</f>
        <v>0.00164613691502327</v>
      </c>
      <c r="AI24" s="220" t="n">
        <f aca="false">Algae_electricity_factor/M24</f>
        <v>0.00157160230349227</v>
      </c>
      <c r="AJ24" s="220" t="n">
        <f aca="false">Algae_electricity_factor/N24</f>
        <v>0.00153006868897048</v>
      </c>
      <c r="AK24" s="220" t="n">
        <f aca="false">Algae_electricity_factor/O24</f>
        <v>0.00147081184531677</v>
      </c>
      <c r="AL24" s="220" t="n">
        <f aca="false">Algae_electricity_factor/P24</f>
        <v>0.00139216963933946</v>
      </c>
      <c r="AM24" s="220" t="n">
        <f aca="false">Algae_electricity_factor/Q24</f>
        <v>0.00129725209320225</v>
      </c>
      <c r="AN24" s="220" t="n">
        <f aca="false">Algae_electricity_factor/R24</f>
        <v>0.00119498244393718</v>
      </c>
      <c r="AO24" s="220" t="n">
        <f aca="false">Algae_electricity_factor/S24</f>
        <v>0.00109742461001551</v>
      </c>
      <c r="AP24" s="220" t="n">
        <f aca="false">Algae_electricity_factor/T24</f>
        <v>0.00101459363779792</v>
      </c>
      <c r="AQ24" s="220" t="n">
        <f aca="false">Algae_electricity_factor/U24</f>
        <v>0.00095094235131318</v>
      </c>
      <c r="AR24" s="220" t="n">
        <f aca="false">Algae_electricity_factor/V24</f>
        <v>0.000905677834159841</v>
      </c>
      <c r="AS24" s="220" t="n">
        <f aca="false">Algae_electricity_factor/W24</f>
        <v>0.000875233662524132</v>
      </c>
      <c r="AT24" s="220" t="n">
        <f aca="false">Algae_electricity_factor/X24</f>
        <v>0.000855517456110091</v>
      </c>
      <c r="AU24" s="220" t="n">
        <f aca="false">Algae_electricity_factor/Y24</f>
        <v>0.000843059883059163</v>
      </c>
      <c r="AV24" s="220" t="n">
        <f aca="false">Algae_electricity_factor/Z24</f>
        <v>0.000835310869996866</v>
      </c>
      <c r="AW24" s="220" t="n">
        <f aca="false">Algae_electricity_factor/AA24</f>
        <v>0.000830537569060901</v>
      </c>
      <c r="AX24" s="220" t="n">
        <f aca="false">Algae_electricity_factor/AB24</f>
        <v>0.000827614936424996</v>
      </c>
      <c r="AY24" s="220" t="n">
        <f aca="false">Algae_electricity_factor/AC24</f>
        <v>0.000825832042887405</v>
      </c>
      <c r="AZ24" s="211" t="n">
        <f aca="false">Algae_yield_cost_factor/H24</f>
        <v>0.091129790308566</v>
      </c>
      <c r="BA24" s="18" t="n">
        <f aca="false">Algae_yield_cost_factor/I24</f>
        <v>0.091129790308566</v>
      </c>
      <c r="BB24" s="18" t="n">
        <f aca="false">Algae_yield_cost_factor/J24</f>
        <v>0.091129790308566</v>
      </c>
      <c r="BC24" s="18" t="n">
        <f aca="false">Algae_yield_cost_factor/K24</f>
        <v>0.091129790308566</v>
      </c>
      <c r="BD24" s="18" t="n">
        <f aca="false">Algae_yield_cost_factor/L24</f>
        <v>0.091129790308566</v>
      </c>
      <c r="BE24" s="18" t="n">
        <f aca="false">Algae_yield_cost_factor/M24</f>
        <v>0.0870035700303129</v>
      </c>
      <c r="BF24" s="18" t="n">
        <f aca="false">Algae_yield_cost_factor/N24</f>
        <v>0.0847042779437403</v>
      </c>
      <c r="BG24" s="18" t="n">
        <f aca="false">Algae_yield_cost_factor/O24</f>
        <v>0.0814238316532604</v>
      </c>
      <c r="BH24" s="18" t="n">
        <f aca="false">Algae_yield_cost_factor/P24</f>
        <v>0.0770702158180833</v>
      </c>
      <c r="BI24" s="18" t="n">
        <f aca="false">Algae_yield_cost_factor/Q24</f>
        <v>0.0718156006052502</v>
      </c>
      <c r="BJ24" s="18" t="n">
        <f aca="false">Algae_yield_cost_factor/R24</f>
        <v>0.0661539745233609</v>
      </c>
      <c r="BK24" s="18" t="n">
        <f aca="false">Algae_yield_cost_factor/S24</f>
        <v>0.060753193539044</v>
      </c>
      <c r="BL24" s="18" t="n">
        <f aca="false">Algae_yield_cost_factor/T24</f>
        <v>0.0561676884936528</v>
      </c>
      <c r="BM24" s="18" t="n">
        <f aca="false">Algae_yield_cost_factor/U24</f>
        <v>0.0526439667805396</v>
      </c>
      <c r="BN24" s="18" t="n">
        <f aca="false">Algae_yield_cost_factor/V24</f>
        <v>0.0501381327159752</v>
      </c>
      <c r="BO24" s="18" t="n">
        <f aca="false">Algae_yield_cost_factor/W24</f>
        <v>0.0484527498344176</v>
      </c>
      <c r="BP24" s="18" t="n">
        <f aca="false">Algae_yield_cost_factor/X24</f>
        <v>0.0473612648310779</v>
      </c>
      <c r="BQ24" s="18" t="n">
        <f aca="false">Algae_yield_cost_factor/Y24</f>
        <v>0.0466716162304518</v>
      </c>
      <c r="BR24" s="18" t="n">
        <f aca="false">Algae_yield_cost_factor/Z24</f>
        <v>0.0462426325116488</v>
      </c>
      <c r="BS24" s="18" t="n">
        <f aca="false">Algae_yield_cost_factor/AA24</f>
        <v>0.0459783835847192</v>
      </c>
      <c r="BT24" s="18" t="n">
        <f aca="false">Algae_yield_cost_factor/AB24</f>
        <v>0.0458165872621725</v>
      </c>
      <c r="BU24" s="18" t="n">
        <f aca="false">Algae_yield_cost_factor/AC24</f>
        <v>0.0457178866542582</v>
      </c>
    </row>
    <row r="25" customFormat="false" ht="15" hidden="false" customHeight="false" outlineLevel="0" collapsed="false">
      <c r="A25" s="18" t="s">
        <v>695</v>
      </c>
      <c r="B25" s="18" t="s">
        <v>22</v>
      </c>
      <c r="C25" s="18" t="s">
        <v>691</v>
      </c>
      <c r="D25" s="18" t="s">
        <v>691</v>
      </c>
      <c r="E25" s="185" t="n">
        <v>7.71375</v>
      </c>
      <c r="F25" s="18" t="n">
        <f aca="false">E25/$B$2*$F$3/1000</f>
        <v>0.0188986875</v>
      </c>
      <c r="G25" s="18" t="n">
        <f aca="false">LOOKUP(RIGHT(D25,5),Ref!$C$4:$C$21,Ref!$E$4:$E$21)*$G$3</f>
        <v>2</v>
      </c>
      <c r="H25" s="222" t="n">
        <f aca="false">$E25</f>
        <v>7.71375</v>
      </c>
      <c r="I25" s="185" t="n">
        <f aca="false">$E25</f>
        <v>7.71375</v>
      </c>
      <c r="J25" s="185" t="n">
        <f aca="false">$E25</f>
        <v>7.71375</v>
      </c>
      <c r="K25" s="185" t="n">
        <f aca="false">$E25</f>
        <v>7.71375</v>
      </c>
      <c r="L25" s="185" t="n">
        <f aca="false">$E25</f>
        <v>7.71375</v>
      </c>
      <c r="M25" s="185" t="n">
        <f aca="false">M$3*$E25</f>
        <v>8.07958132922346</v>
      </c>
      <c r="N25" s="185" t="n">
        <f aca="false">N$3*$E25</f>
        <v>8.29890103613887</v>
      </c>
      <c r="O25" s="185" t="n">
        <f aca="false">O$3*$E25</f>
        <v>8.63325153974811</v>
      </c>
      <c r="P25" s="185" t="n">
        <f aca="false">P$3*$E25</f>
        <v>9.12093488426128</v>
      </c>
      <c r="Q25" s="185" t="n">
        <f aca="false">Q$3*$E25</f>
        <v>9.7882968890928</v>
      </c>
      <c r="R25" s="185" t="n">
        <f aca="false">R$3*$E25</f>
        <v>10.6260043339417</v>
      </c>
      <c r="S25" s="185" t="n">
        <f aca="false">S$3*$E25</f>
        <v>11.570625</v>
      </c>
      <c r="T25" s="185" t="n">
        <f aca="false">T$3*$E25</f>
        <v>12.5152456660583</v>
      </c>
      <c r="U25" s="185" t="n">
        <f aca="false">U$3*$E25</f>
        <v>13.3529531109072</v>
      </c>
      <c r="V25" s="185" t="n">
        <f aca="false">V$3*$E25</f>
        <v>14.0203151157387</v>
      </c>
      <c r="W25" s="185" t="n">
        <f aca="false">W$3*$E25</f>
        <v>14.5079984602519</v>
      </c>
      <c r="X25" s="185" t="n">
        <f aca="false">X$3*$E25</f>
        <v>14.8423489638611</v>
      </c>
      <c r="Y25" s="185" t="n">
        <f aca="false">Y$3*$E25</f>
        <v>15.0616686707765</v>
      </c>
      <c r="Z25" s="185" t="n">
        <f aca="false">Z$3*$E25</f>
        <v>15.2013927800417</v>
      </c>
      <c r="AA25" s="185" t="n">
        <f aca="false">AA$3*$E25</f>
        <v>15.2887588729049</v>
      </c>
      <c r="AB25" s="185" t="n">
        <f aca="false">AB$3*$E25</f>
        <v>15.3427494712833</v>
      </c>
      <c r="AC25" s="185" t="n">
        <f aca="false">AC$3*$E25</f>
        <v>15.3758730211828</v>
      </c>
      <c r="AD25" s="219" t="n">
        <f aca="false">Algae_electricity_factor/H25</f>
        <v>0.0017817011315546</v>
      </c>
      <c r="AE25" s="220" t="n">
        <f aca="false">Algae_electricity_factor/I25</f>
        <v>0.0017817011315546</v>
      </c>
      <c r="AF25" s="220" t="n">
        <f aca="false">Algae_electricity_factor/J25</f>
        <v>0.0017817011315546</v>
      </c>
      <c r="AG25" s="220" t="n">
        <f aca="false">Algae_electricity_factor/K25</f>
        <v>0.0017817011315546</v>
      </c>
      <c r="AH25" s="220" t="n">
        <f aca="false">Algae_electricity_factor/L25</f>
        <v>0.0017817011315546</v>
      </c>
      <c r="AI25" s="220" t="n">
        <f aca="false">Algae_electricity_factor/M25</f>
        <v>0.00170102837554458</v>
      </c>
      <c r="AJ25" s="220" t="n">
        <f aca="false">Algae_electricity_factor/N25</f>
        <v>0.00165607434570922</v>
      </c>
      <c r="AK25" s="220" t="n">
        <f aca="false">Algae_electricity_factor/O25</f>
        <v>0.00159193752669579</v>
      </c>
      <c r="AL25" s="220" t="n">
        <f aca="false">Algae_electricity_factor/P25</f>
        <v>0.00150681890375565</v>
      </c>
      <c r="AM25" s="220" t="n">
        <f aca="false">Algae_electricity_factor/Q25</f>
        <v>0.00140408461852479</v>
      </c>
      <c r="AN25" s="220" t="n">
        <f aca="false">Algae_electricity_factor/R25</f>
        <v>0.00129339276284966</v>
      </c>
      <c r="AO25" s="220" t="n">
        <f aca="false">Algae_electricity_factor/S25</f>
        <v>0.00118780075436973</v>
      </c>
      <c r="AP25" s="220" t="n">
        <f aca="false">Algae_electricity_factor/T25</f>
        <v>0.00109814840796951</v>
      </c>
      <c r="AQ25" s="220" t="n">
        <f aca="false">Algae_electricity_factor/U25</f>
        <v>0.00102925525083309</v>
      </c>
      <c r="AR25" s="220" t="n">
        <f aca="false">Algae_electricity_factor/V25</f>
        <v>0.00098026306756124</v>
      </c>
      <c r="AS25" s="220" t="n">
        <f aca="false">Algae_electricity_factor/W25</f>
        <v>0.000947311728849649</v>
      </c>
      <c r="AT25" s="220" t="n">
        <f aca="false">Algae_electricity_factor/X25</f>
        <v>0.00092597183484857</v>
      </c>
      <c r="AU25" s="220" t="n">
        <f aca="false">Algae_electricity_factor/Y25</f>
        <v>0.000912488344016976</v>
      </c>
      <c r="AV25" s="220" t="n">
        <f aca="false">Algae_electricity_factor/Z25</f>
        <v>0.000904101176937784</v>
      </c>
      <c r="AW25" s="220" t="n">
        <f aca="false">Algae_electricity_factor/AA25</f>
        <v>0.000898934780630622</v>
      </c>
      <c r="AX25" s="220" t="n">
        <f aca="false">Algae_electricity_factor/AB25</f>
        <v>0.000895771460601172</v>
      </c>
      <c r="AY25" s="220" t="n">
        <f aca="false">Algae_electricity_factor/AC25</f>
        <v>0.000893841740536956</v>
      </c>
      <c r="AZ25" s="211" t="n">
        <f aca="false">Algae_yield_cost_factor/H25</f>
        <v>0.0986345965692715</v>
      </c>
      <c r="BA25" s="18" t="n">
        <f aca="false">Algae_yield_cost_factor/I25</f>
        <v>0.0986345965692715</v>
      </c>
      <c r="BB25" s="18" t="n">
        <f aca="false">Algae_yield_cost_factor/J25</f>
        <v>0.0986345965692715</v>
      </c>
      <c r="BC25" s="18" t="n">
        <f aca="false">Algae_yield_cost_factor/K25</f>
        <v>0.0986345965692715</v>
      </c>
      <c r="BD25" s="18" t="n">
        <f aca="false">Algae_yield_cost_factor/L25</f>
        <v>0.0986345965692715</v>
      </c>
      <c r="BE25" s="18" t="n">
        <f aca="false">Algae_yield_cost_factor/M25</f>
        <v>0.0941685699151622</v>
      </c>
      <c r="BF25" s="18" t="n">
        <f aca="false">Algae_yield_cost_factor/N25</f>
        <v>0.0916799243626366</v>
      </c>
      <c r="BG25" s="18" t="n">
        <f aca="false">Algae_yield_cost_factor/O25</f>
        <v>0.0881293236717642</v>
      </c>
      <c r="BH25" s="18" t="n">
        <f aca="false">Algae_yield_cost_factor/P25</f>
        <v>0.0834171747678078</v>
      </c>
      <c r="BI25" s="18" t="n">
        <f aca="false">Algae_yield_cost_factor/Q25</f>
        <v>0.0777298265374472</v>
      </c>
      <c r="BJ25" s="18" t="n">
        <f aca="false">Algae_yield_cost_factor/R25</f>
        <v>0.0716019488958729</v>
      </c>
      <c r="BK25" s="18" t="n">
        <f aca="false">Algae_yield_cost_factor/S25</f>
        <v>0.0657563977128477</v>
      </c>
      <c r="BL25" s="18" t="n">
        <f aca="false">Algae_yield_cost_factor/T25</f>
        <v>0.0607932628401889</v>
      </c>
      <c r="BM25" s="18" t="n">
        <f aca="false">Algae_yield_cost_factor/U25</f>
        <v>0.0569793522801134</v>
      </c>
      <c r="BN25" s="18" t="n">
        <f aca="false">Algae_yield_cost_factor/V25</f>
        <v>0.054267155410232</v>
      </c>
      <c r="BO25" s="18" t="n">
        <f aca="false">Algae_yield_cost_factor/W25</f>
        <v>0.0524429762913697</v>
      </c>
      <c r="BP25" s="18" t="n">
        <f aca="false">Algae_yield_cost_factor/X25</f>
        <v>0.0512616042877549</v>
      </c>
      <c r="BQ25" s="18" t="n">
        <f aca="false">Algae_yield_cost_factor/Y25</f>
        <v>0.050515161096489</v>
      </c>
      <c r="BR25" s="18" t="n">
        <f aca="false">Algae_yield_cost_factor/Z25</f>
        <v>0.0500508493067258</v>
      </c>
      <c r="BS25" s="18" t="n">
        <f aca="false">Algae_yield_cost_factor/AA25</f>
        <v>0.0497648387034608</v>
      </c>
      <c r="BT25" s="18" t="n">
        <f aca="false">Algae_yield_cost_factor/AB25</f>
        <v>0.0495897179778809</v>
      </c>
      <c r="BU25" s="18" t="n">
        <f aca="false">Algae_yield_cost_factor/AC25</f>
        <v>0.0494828890846088</v>
      </c>
    </row>
    <row r="26" customFormat="false" ht="15" hidden="false" customHeight="false" outlineLevel="0" collapsed="false">
      <c r="A26" s="18" t="s">
        <v>695</v>
      </c>
      <c r="B26" s="18" t="s">
        <v>22</v>
      </c>
      <c r="C26" s="18" t="s">
        <v>692</v>
      </c>
      <c r="D26" s="18" t="s">
        <v>692</v>
      </c>
      <c r="E26" s="185" t="n">
        <v>8.052</v>
      </c>
      <c r="F26" s="18" t="n">
        <f aca="false">E26/$B$2*$F$3/1000</f>
        <v>0.0197274</v>
      </c>
      <c r="G26" s="18" t="n">
        <f aca="false">LOOKUP(RIGHT(D26,5),Ref!$C$4:$C$21,Ref!$E$4:$E$21)*$G$3</f>
        <v>2.5</v>
      </c>
      <c r="H26" s="222" t="n">
        <f aca="false">$E26</f>
        <v>8.052</v>
      </c>
      <c r="I26" s="185" t="n">
        <f aca="false">$E26</f>
        <v>8.052</v>
      </c>
      <c r="J26" s="185" t="n">
        <f aca="false">$E26</f>
        <v>8.052</v>
      </c>
      <c r="K26" s="185" t="n">
        <f aca="false">$E26</f>
        <v>8.052</v>
      </c>
      <c r="L26" s="185" t="n">
        <f aca="false">$E26</f>
        <v>8.052</v>
      </c>
      <c r="M26" s="185" t="n">
        <f aca="false">M$3*$E26</f>
        <v>8.43387313082577</v>
      </c>
      <c r="N26" s="185" t="n">
        <f aca="false">N$3*$E26</f>
        <v>8.66281006553105</v>
      </c>
      <c r="O26" s="185" t="n">
        <f aca="false">O$3*$E26</f>
        <v>9.01182192812209</v>
      </c>
      <c r="P26" s="185" t="n">
        <f aca="false">P$3*$E26</f>
        <v>9.52089031768878</v>
      </c>
      <c r="Q26" s="185" t="n">
        <f aca="false">Q$3*$E26</f>
        <v>10.2175163248712</v>
      </c>
      <c r="R26" s="185" t="n">
        <f aca="false">R$3*$E26</f>
        <v>11.0919574651627</v>
      </c>
      <c r="S26" s="185" t="n">
        <f aca="false">S$3*$E26</f>
        <v>12.078</v>
      </c>
      <c r="T26" s="185" t="n">
        <f aca="false">T$3*$E26</f>
        <v>13.0640425348373</v>
      </c>
      <c r="U26" s="185" t="n">
        <f aca="false">U$3*$E26</f>
        <v>13.9384836751288</v>
      </c>
      <c r="V26" s="185" t="n">
        <f aca="false">V$3*$E26</f>
        <v>14.6351096823112</v>
      </c>
      <c r="W26" s="185" t="n">
        <f aca="false">W$3*$E26</f>
        <v>15.1441780718779</v>
      </c>
      <c r="X26" s="185" t="n">
        <f aca="false">X$3*$E26</f>
        <v>15.4931899344689</v>
      </c>
      <c r="Y26" s="185" t="n">
        <f aca="false">Y$3*$E26</f>
        <v>15.7221268691742</v>
      </c>
      <c r="Z26" s="185" t="n">
        <f aca="false">Z$3*$E26</f>
        <v>15.8679779179901</v>
      </c>
      <c r="AA26" s="185" t="n">
        <f aca="false">AA$3*$E26</f>
        <v>15.9591750373852</v>
      </c>
      <c r="AB26" s="185" t="n">
        <f aca="false">AB$3*$E26</f>
        <v>16.0155331379385</v>
      </c>
      <c r="AC26" s="185" t="n">
        <f aca="false">AC$3*$E26</f>
        <v>16.0501091643577</v>
      </c>
      <c r="AD26" s="219" t="n">
        <f aca="false">Algae_electricity_factor/H26</f>
        <v>0.00170685507992167</v>
      </c>
      <c r="AE26" s="220" t="n">
        <f aca="false">Algae_electricity_factor/I26</f>
        <v>0.00170685507992167</v>
      </c>
      <c r="AF26" s="220" t="n">
        <f aca="false">Algae_electricity_factor/J26</f>
        <v>0.00170685507992167</v>
      </c>
      <c r="AG26" s="220" t="n">
        <f aca="false">Algae_electricity_factor/K26</f>
        <v>0.00170685507992167</v>
      </c>
      <c r="AH26" s="220" t="n">
        <f aca="false">Algae_electricity_factor/L26</f>
        <v>0.00170685507992167</v>
      </c>
      <c r="AI26" s="220" t="n">
        <f aca="false">Algae_electricity_factor/M26</f>
        <v>0.00162957124091617</v>
      </c>
      <c r="AJ26" s="220" t="n">
        <f aca="false">Algae_electricity_factor/N26</f>
        <v>0.00158650564880955</v>
      </c>
      <c r="AK26" s="220" t="n">
        <f aca="false">Algae_electricity_factor/O26</f>
        <v>0.00152506310190632</v>
      </c>
      <c r="AL26" s="220" t="n">
        <f aca="false">Algae_electricity_factor/P26</f>
        <v>0.00144352015882329</v>
      </c>
      <c r="AM26" s="220" t="n">
        <f aca="false">Algae_electricity_factor/Q26</f>
        <v>0.00134510155565643</v>
      </c>
      <c r="AN26" s="220" t="n">
        <f aca="false">Algae_electricity_factor/R26</f>
        <v>0.00123905966522995</v>
      </c>
      <c r="AO26" s="220" t="n">
        <f aca="false">Algae_electricity_factor/S26</f>
        <v>0.00113790338661444</v>
      </c>
      <c r="AP26" s="220" t="n">
        <f aca="false">Algae_electricity_factor/T26</f>
        <v>0.00105201717361833</v>
      </c>
      <c r="AQ26" s="220" t="n">
        <f aca="false">Algae_electricity_factor/U26</f>
        <v>0.000986018093779649</v>
      </c>
      <c r="AR26" s="220" t="n">
        <f aca="false">Algae_electricity_factor/V26</f>
        <v>0.000939083983780491</v>
      </c>
      <c r="AS26" s="220" t="n">
        <f aca="false">Algae_electricity_factor/W26</f>
        <v>0.000907516871387727</v>
      </c>
      <c r="AT26" s="220" t="n">
        <f aca="false">Algae_electricity_factor/X26</f>
        <v>0.000887073427851857</v>
      </c>
      <c r="AU26" s="220" t="n">
        <f aca="false">Algae_electricity_factor/Y26</f>
        <v>0.000874156354155607</v>
      </c>
      <c r="AV26" s="220" t="n">
        <f aca="false">Algae_electricity_factor/Z26</f>
        <v>0.000866121516841013</v>
      </c>
      <c r="AW26" s="220" t="n">
        <f aca="false">Algae_electricity_factor/AA26</f>
        <v>0.000861172151526262</v>
      </c>
      <c r="AX26" s="220" t="n">
        <f aca="false">Algae_electricity_factor/AB26</f>
        <v>0.000858141716866901</v>
      </c>
      <c r="AY26" s="220" t="n">
        <f aca="false">Algae_electricity_factor/AC26</f>
        <v>0.00085629306086276</v>
      </c>
      <c r="AZ26" s="211" t="n">
        <f aca="false">Algae_yield_cost_factor/H26</f>
        <v>0.0944911350330623</v>
      </c>
      <c r="BA26" s="18" t="n">
        <f aca="false">Algae_yield_cost_factor/I26</f>
        <v>0.0944911350330623</v>
      </c>
      <c r="BB26" s="18" t="n">
        <f aca="false">Algae_yield_cost_factor/J26</f>
        <v>0.0944911350330623</v>
      </c>
      <c r="BC26" s="18" t="n">
        <f aca="false">Algae_yield_cost_factor/K26</f>
        <v>0.0944911350330623</v>
      </c>
      <c r="BD26" s="18" t="n">
        <f aca="false">Algae_yield_cost_factor/L26</f>
        <v>0.0944911350330623</v>
      </c>
      <c r="BE26" s="18" t="n">
        <f aca="false">Algae_yield_cost_factor/M26</f>
        <v>0.0902127181052015</v>
      </c>
      <c r="BF26" s="18" t="n">
        <f aca="false">Algae_yield_cost_factor/N26</f>
        <v>0.087828616064616</v>
      </c>
      <c r="BG26" s="18" t="n">
        <f aca="false">Algae_yield_cost_factor/O26</f>
        <v>0.0844271697060446</v>
      </c>
      <c r="BH26" s="18" t="n">
        <f aca="false">Algae_yield_cost_factor/P26</f>
        <v>0.0799129696802257</v>
      </c>
      <c r="BI26" s="18" t="n">
        <f aca="false">Algae_yield_cost_factor/Q26</f>
        <v>0.0744645366931487</v>
      </c>
      <c r="BJ26" s="18" t="n">
        <f aca="false">Algae_yield_cost_factor/R26</f>
        <v>0.0685940801410258</v>
      </c>
      <c r="BK26" s="18" t="n">
        <f aca="false">Algae_yield_cost_factor/S26</f>
        <v>0.0629940900220416</v>
      </c>
      <c r="BL26" s="18" t="n">
        <f aca="false">Algae_yield_cost_factor/T26</f>
        <v>0.0582394474954679</v>
      </c>
      <c r="BM26" s="18" t="n">
        <f aca="false">Algae_yield_cost_factor/U26</f>
        <v>0.0545857524404775</v>
      </c>
      <c r="BN26" s="18" t="n">
        <f aca="false">Algae_yield_cost_factor/V26</f>
        <v>0.051987490070253</v>
      </c>
      <c r="BO26" s="18" t="n">
        <f aca="false">Algae_yield_cost_factor/W26</f>
        <v>0.0502399414266708</v>
      </c>
      <c r="BP26" s="18" t="n">
        <f aca="false">Algae_yield_cost_factor/X26</f>
        <v>0.0491081967305848</v>
      </c>
      <c r="BQ26" s="18" t="n">
        <f aca="false">Algae_yield_cost_factor/Y26</f>
        <v>0.0483931102717389</v>
      </c>
      <c r="BR26" s="18" t="n">
        <f aca="false">Algae_yield_cost_factor/Z26</f>
        <v>0.0479483033829801</v>
      </c>
      <c r="BS26" s="18" t="n">
        <f aca="false">Algae_yield_cost_factor/AA26</f>
        <v>0.0476743075694015</v>
      </c>
      <c r="BT26" s="18" t="n">
        <f aca="false">Algae_yield_cost_factor/AB26</f>
        <v>0.0475065433497117</v>
      </c>
      <c r="BU26" s="18" t="n">
        <f aca="false">Algae_yield_cost_factor/AC26</f>
        <v>0.0474042021456038</v>
      </c>
    </row>
    <row r="27" customFormat="false" ht="15" hidden="false" customHeight="false" outlineLevel="0" collapsed="false">
      <c r="A27" s="18" t="s">
        <v>695</v>
      </c>
      <c r="B27" s="18" t="s">
        <v>22</v>
      </c>
      <c r="C27" s="18" t="s">
        <v>693</v>
      </c>
      <c r="D27" s="18" t="s">
        <v>693</v>
      </c>
      <c r="E27" s="185" t="n">
        <v>7.5075</v>
      </c>
      <c r="F27" s="18" t="n">
        <f aca="false">E27/$B$2*$F$3/1000</f>
        <v>0.018393375</v>
      </c>
      <c r="G27" s="18" t="n">
        <f aca="false">LOOKUP(RIGHT(D27,5),Ref!$C$4:$C$21,Ref!$E$4:$E$21)*$G$3</f>
        <v>3</v>
      </c>
      <c r="H27" s="222" t="n">
        <f aca="false">$E27</f>
        <v>7.5075</v>
      </c>
      <c r="I27" s="185" t="n">
        <f aca="false">$E27</f>
        <v>7.5075</v>
      </c>
      <c r="J27" s="185" t="n">
        <f aca="false">$E27</f>
        <v>7.5075</v>
      </c>
      <c r="K27" s="185" t="n">
        <f aca="false">$E27</f>
        <v>7.5075</v>
      </c>
      <c r="L27" s="185" t="n">
        <f aca="false">$E27</f>
        <v>7.5075</v>
      </c>
      <c r="M27" s="185" t="n">
        <f aca="false">M$3*$E27</f>
        <v>7.86354974288058</v>
      </c>
      <c r="N27" s="185" t="n">
        <f aca="false">N$3*$E27</f>
        <v>8.07700528650949</v>
      </c>
      <c r="O27" s="185" t="n">
        <f aca="false">O$3*$E27</f>
        <v>8.40241593708105</v>
      </c>
      <c r="P27" s="185" t="n">
        <f aca="false">P$3*$E27</f>
        <v>8.87705961997622</v>
      </c>
      <c r="Q27" s="185" t="n">
        <f aca="false">Q$3*$E27</f>
        <v>9.52657772093524</v>
      </c>
      <c r="R27" s="185" t="n">
        <f aca="false">R$3*$E27</f>
        <v>10.3418865710021</v>
      </c>
      <c r="S27" s="185" t="n">
        <f aca="false">S$3*$E27</f>
        <v>11.26125</v>
      </c>
      <c r="T27" s="185" t="n">
        <f aca="false">T$3*$E27</f>
        <v>12.1806134289979</v>
      </c>
      <c r="U27" s="185" t="n">
        <f aca="false">U$3*$E27</f>
        <v>12.9959222790648</v>
      </c>
      <c r="V27" s="185" t="n">
        <f aca="false">V$3*$E27</f>
        <v>13.6454403800238</v>
      </c>
      <c r="W27" s="185" t="n">
        <f aca="false">W$3*$E27</f>
        <v>14.120084062919</v>
      </c>
      <c r="X27" s="185" t="n">
        <f aca="false">X$3*$E27</f>
        <v>14.4454947134905</v>
      </c>
      <c r="Y27" s="185" t="n">
        <f aca="false">Y$3*$E27</f>
        <v>14.6589502571194</v>
      </c>
      <c r="Z27" s="185" t="n">
        <f aca="false">Z$3*$E27</f>
        <v>14.7949384276342</v>
      </c>
      <c r="AA27" s="185" t="n">
        <f aca="false">AA$3*$E27</f>
        <v>14.8799685287096</v>
      </c>
      <c r="AB27" s="185" t="n">
        <f aca="false">AB$3*$E27</f>
        <v>14.9325155282008</v>
      </c>
      <c r="AC27" s="185" t="n">
        <f aca="false">AC$3*$E27</f>
        <v>14.9647534216859</v>
      </c>
      <c r="AD27" s="219" t="n">
        <f aca="false">Algae_electricity_factor/H27</f>
        <v>0.00183064896483906</v>
      </c>
      <c r="AE27" s="220" t="n">
        <f aca="false">Algae_electricity_factor/I27</f>
        <v>0.00183064896483906</v>
      </c>
      <c r="AF27" s="220" t="n">
        <f aca="false">Algae_electricity_factor/J27</f>
        <v>0.00183064896483906</v>
      </c>
      <c r="AG27" s="220" t="n">
        <f aca="false">Algae_electricity_factor/K27</f>
        <v>0.00183064896483906</v>
      </c>
      <c r="AH27" s="220" t="n">
        <f aca="false">Algae_electricity_factor/L27</f>
        <v>0.00183064896483906</v>
      </c>
      <c r="AI27" s="220" t="n">
        <f aca="false">Algae_electricity_factor/M27</f>
        <v>0.00174775992432327</v>
      </c>
      <c r="AJ27" s="220" t="n">
        <f aca="false">Algae_electricity_factor/N27</f>
        <v>0.00170157089366827</v>
      </c>
      <c r="AK27" s="220" t="n">
        <f aca="false">Algae_electricity_factor/O27</f>
        <v>0.00163567207413249</v>
      </c>
      <c r="AL27" s="220" t="n">
        <f aca="false">Algae_electricity_factor/P27</f>
        <v>0.0015482150274852</v>
      </c>
      <c r="AM27" s="220" t="n">
        <f aca="false">Algae_electricity_factor/Q27</f>
        <v>0.00144265837178097</v>
      </c>
      <c r="AN27" s="220" t="n">
        <f aca="false">Algae_electricity_factor/R27</f>
        <v>0.00132892553105981</v>
      </c>
      <c r="AO27" s="220" t="n">
        <f aca="false">Algae_electricity_factor/S27</f>
        <v>0.00122043264322604</v>
      </c>
      <c r="AP27" s="220" t="n">
        <f aca="false">Algae_electricity_factor/T27</f>
        <v>0.00112831732027637</v>
      </c>
      <c r="AQ27" s="220" t="n">
        <f aca="false">Algae_electricity_factor/U27</f>
        <v>0.00105753149398784</v>
      </c>
      <c r="AR27" s="220" t="n">
        <f aca="false">Algae_electricity_factor/V27</f>
        <v>0.00100719337161512</v>
      </c>
      <c r="AS27" s="220" t="n">
        <f aca="false">Algae_electricity_factor/W27</f>
        <v>0.000973336776345518</v>
      </c>
      <c r="AT27" s="220" t="n">
        <f aca="false">Algae_electricity_factor/X27</f>
        <v>0.000951410621520234</v>
      </c>
      <c r="AU27" s="220" t="n">
        <f aca="false">Algae_electricity_factor/Y27</f>
        <v>0.000937556705116344</v>
      </c>
      <c r="AV27" s="220" t="n">
        <f aca="false">Algae_electricity_factor/Z27</f>
        <v>0.000928939121359152</v>
      </c>
      <c r="AW27" s="220" t="n">
        <f aca="false">Algae_electricity_factor/AA27</f>
        <v>0.000923630791087507</v>
      </c>
      <c r="AX27" s="220" t="n">
        <f aca="false">Algae_electricity_factor/AB27</f>
        <v>0.000920380566661643</v>
      </c>
      <c r="AY27" s="220" t="n">
        <f aca="false">Algae_electricity_factor/AC27</f>
        <v>0.00091839783230995</v>
      </c>
      <c r="AZ27" s="211" t="n">
        <f aca="false">Algae_yield_cost_factor/H27</f>
        <v>0.101344338233262</v>
      </c>
      <c r="BA27" s="18" t="n">
        <f aca="false">Algae_yield_cost_factor/I27</f>
        <v>0.101344338233262</v>
      </c>
      <c r="BB27" s="18" t="n">
        <f aca="false">Algae_yield_cost_factor/J27</f>
        <v>0.101344338233262</v>
      </c>
      <c r="BC27" s="18" t="n">
        <f aca="false">Algae_yield_cost_factor/K27</f>
        <v>0.101344338233262</v>
      </c>
      <c r="BD27" s="18" t="n">
        <f aca="false">Algae_yield_cost_factor/L27</f>
        <v>0.101344338233262</v>
      </c>
      <c r="BE27" s="18" t="n">
        <f aca="false">Algae_yield_cost_factor/M27</f>
        <v>0.0967556185392051</v>
      </c>
      <c r="BF27" s="18" t="n">
        <f aca="false">Algae_yield_cost_factor/N27</f>
        <v>0.0941986036033684</v>
      </c>
      <c r="BG27" s="18" t="n">
        <f aca="false">Algae_yield_cost_factor/O27</f>
        <v>0.090550458937472</v>
      </c>
      <c r="BH27" s="18" t="n">
        <f aca="false">Algae_yield_cost_factor/P27</f>
        <v>0.085708855393297</v>
      </c>
      <c r="BI27" s="18" t="n">
        <f aca="false">Algae_yield_cost_factor/Q27</f>
        <v>0.079865261332432</v>
      </c>
      <c r="BJ27" s="18" t="n">
        <f aca="false">Algae_yield_cost_factor/R27</f>
        <v>0.0735690354040013</v>
      </c>
      <c r="BK27" s="18" t="n">
        <f aca="false">Algae_yield_cost_factor/S27</f>
        <v>0.0675628921555083</v>
      </c>
      <c r="BL27" s="18" t="n">
        <f aca="false">Algae_yield_cost_factor/T27</f>
        <v>0.0624634074237106</v>
      </c>
      <c r="BM27" s="18" t="n">
        <f aca="false">Algae_yield_cost_factor/U27</f>
        <v>0.0585447191009957</v>
      </c>
      <c r="BN27" s="18" t="n">
        <f aca="false">Algae_yield_cost_factor/V27</f>
        <v>0.0557580113280955</v>
      </c>
      <c r="BO27" s="18" t="n">
        <f aca="false">Algae_yield_cost_factor/W27</f>
        <v>0.0538837173982755</v>
      </c>
      <c r="BP27" s="18" t="n">
        <f aca="false">Algae_yield_cost_factor/X27</f>
        <v>0.052669890119836</v>
      </c>
      <c r="BQ27" s="18" t="n">
        <f aca="false">Algae_yield_cost_factor/Y27</f>
        <v>0.0519029402474914</v>
      </c>
      <c r="BR27" s="18" t="n">
        <f aca="false">Algae_yield_cost_factor/Z27</f>
        <v>0.0514258726393281</v>
      </c>
      <c r="BS27" s="18" t="n">
        <f aca="false">Algae_yield_cost_factor/AA27</f>
        <v>0.0511320046019075</v>
      </c>
      <c r="BT27" s="18" t="n">
        <f aca="false">Algae_yield_cost_factor/AB27</f>
        <v>0.0509520728673831</v>
      </c>
      <c r="BU27" s="18" t="n">
        <f aca="false">Algae_yield_cost_factor/AC27</f>
        <v>0.0508423091144058</v>
      </c>
    </row>
    <row r="28" customFormat="false" ht="15" hidden="false" customHeight="false" outlineLevel="0" collapsed="false">
      <c r="A28" s="18" t="s">
        <v>695</v>
      </c>
      <c r="B28" s="18" t="s">
        <v>22</v>
      </c>
      <c r="C28" s="18" t="s">
        <v>683</v>
      </c>
      <c r="D28" s="18" t="s">
        <v>683</v>
      </c>
      <c r="E28" s="185" t="n">
        <v>8.47275</v>
      </c>
      <c r="F28" s="18" t="n">
        <f aca="false">E28/$B$2*$F$3/1000</f>
        <v>0.0207582375</v>
      </c>
      <c r="G28" s="18" t="n">
        <f aca="false">LOOKUP(RIGHT(D28,5),Ref!$C$4:$C$21,Ref!$E$4:$E$21)*$G$3</f>
        <v>3</v>
      </c>
      <c r="H28" s="222" t="n">
        <f aca="false">$E28</f>
        <v>8.47275</v>
      </c>
      <c r="I28" s="185" t="n">
        <f aca="false">$E28</f>
        <v>8.47275</v>
      </c>
      <c r="J28" s="185" t="n">
        <f aca="false">$E28</f>
        <v>8.47275</v>
      </c>
      <c r="K28" s="185" t="n">
        <f aca="false">$E28</f>
        <v>8.47275</v>
      </c>
      <c r="L28" s="185" t="n">
        <f aca="false">$E28</f>
        <v>8.47275</v>
      </c>
      <c r="M28" s="185" t="n">
        <f aca="false">M$3*$E28</f>
        <v>8.87457756696523</v>
      </c>
      <c r="N28" s="185" t="n">
        <f aca="false">N$3*$E28</f>
        <v>9.11547739477499</v>
      </c>
      <c r="O28" s="185" t="n">
        <f aca="false">O$3*$E28</f>
        <v>9.4827265575629</v>
      </c>
      <c r="P28" s="185" t="n">
        <f aca="false">P$3*$E28</f>
        <v>10.0183958568303</v>
      </c>
      <c r="Q28" s="185" t="n">
        <f aca="false">Q$3*$E28</f>
        <v>10.7514234279126</v>
      </c>
      <c r="R28" s="185" t="n">
        <f aca="false">R$3*$E28</f>
        <v>11.6715577015595</v>
      </c>
      <c r="S28" s="185" t="n">
        <f aca="false">S$3*$E28</f>
        <v>12.709125</v>
      </c>
      <c r="T28" s="185" t="n">
        <f aca="false">T$3*$E28</f>
        <v>13.7466922984405</v>
      </c>
      <c r="U28" s="185" t="n">
        <f aca="false">U$3*$E28</f>
        <v>14.6668265720874</v>
      </c>
      <c r="V28" s="185" t="n">
        <f aca="false">V$3*$E28</f>
        <v>15.3998541431697</v>
      </c>
      <c r="W28" s="185" t="n">
        <f aca="false">W$3*$E28</f>
        <v>15.9355234424371</v>
      </c>
      <c r="X28" s="185" t="n">
        <f aca="false">X$3*$E28</f>
        <v>16.302772605225</v>
      </c>
      <c r="Y28" s="185" t="n">
        <f aca="false">Y$3*$E28</f>
        <v>16.5436724330348</v>
      </c>
      <c r="Z28" s="185" t="n">
        <f aca="false">Z$3*$E28</f>
        <v>16.6971447969014</v>
      </c>
      <c r="AA28" s="185" t="n">
        <f aca="false">AA$3*$E28</f>
        <v>16.7931073395437</v>
      </c>
      <c r="AB28" s="185" t="n">
        <f aca="false">AB$3*$E28</f>
        <v>16.8524103818266</v>
      </c>
      <c r="AC28" s="185" t="n">
        <f aca="false">AC$3*$E28</f>
        <v>16.8887931473313</v>
      </c>
      <c r="AD28" s="219" t="n">
        <f aca="false">Algae_electricity_factor/H28</f>
        <v>0.00162209401947765</v>
      </c>
      <c r="AE28" s="220" t="n">
        <f aca="false">Algae_electricity_factor/I28</f>
        <v>0.00162209401947765</v>
      </c>
      <c r="AF28" s="220" t="n">
        <f aca="false">Algae_electricity_factor/J28</f>
        <v>0.00162209401947765</v>
      </c>
      <c r="AG28" s="220" t="n">
        <f aca="false">Algae_electricity_factor/K28</f>
        <v>0.00162209401947765</v>
      </c>
      <c r="AH28" s="220" t="n">
        <f aca="false">Algae_electricity_factor/L28</f>
        <v>0.00162209401947765</v>
      </c>
      <c r="AI28" s="220" t="n">
        <f aca="false">Algae_electricity_factor/M28</f>
        <v>0.0015486480342105</v>
      </c>
      <c r="AJ28" s="220" t="n">
        <f aca="false">Algae_electricity_factor/N28</f>
        <v>0.00150772104502252</v>
      </c>
      <c r="AK28" s="220" t="n">
        <f aca="false">Algae_electricity_factor/O28</f>
        <v>0.00144932968594018</v>
      </c>
      <c r="AL28" s="220" t="n">
        <f aca="false">Algae_electricity_factor/P28</f>
        <v>0.00137183610030334</v>
      </c>
      <c r="AM28" s="220" t="n">
        <f aca="false">Algae_electricity_factor/Q28</f>
        <v>0.0012783048863882</v>
      </c>
      <c r="AN28" s="220" t="n">
        <f aca="false">Algae_electricity_factor/R28</f>
        <v>0.00117752895157198</v>
      </c>
      <c r="AO28" s="220" t="n">
        <f aca="false">Algae_electricity_factor/S28</f>
        <v>0.0010813960129851</v>
      </c>
      <c r="AP28" s="220" t="n">
        <f aca="false">Algae_electricity_factor/T28</f>
        <v>0.000999774840751211</v>
      </c>
      <c r="AQ28" s="220" t="n">
        <f aca="false">Algae_electricity_factor/U28</f>
        <v>0.000937053222520874</v>
      </c>
      <c r="AR28" s="220" t="n">
        <f aca="false">Algae_electricity_factor/V28</f>
        <v>0.000892449822950107</v>
      </c>
      <c r="AS28" s="220" t="n">
        <f aca="false">Algae_electricity_factor/W28</f>
        <v>0.000862450308154257</v>
      </c>
      <c r="AT28" s="220" t="n">
        <f aca="false">Algae_electricity_factor/X28</f>
        <v>0.000843022069701473</v>
      </c>
      <c r="AU28" s="220" t="n">
        <f aca="false">Algae_electricity_factor/Y28</f>
        <v>0.000830746447571444</v>
      </c>
      <c r="AV28" s="220" t="n">
        <f aca="false">Algae_electricity_factor/Z28</f>
        <v>0.00082311061386254</v>
      </c>
      <c r="AW28" s="220" t="n">
        <f aca="false">Algae_electricity_factor/AA28</f>
        <v>0.000818407030077538</v>
      </c>
      <c r="AX28" s="220" t="n">
        <f aca="false">Algae_electricity_factor/AB28</f>
        <v>0.000815527084383735</v>
      </c>
      <c r="AY28" s="220" t="n">
        <f aca="false">Algae_electricity_factor/AC28</f>
        <v>0.000813770231160715</v>
      </c>
      <c r="AZ28" s="211" t="n">
        <f aca="false">Algae_yield_cost_factor/H28</f>
        <v>0.0897987807130174</v>
      </c>
      <c r="BA28" s="18" t="n">
        <f aca="false">Algae_yield_cost_factor/I28</f>
        <v>0.0897987807130174</v>
      </c>
      <c r="BB28" s="18" t="n">
        <f aca="false">Algae_yield_cost_factor/J28</f>
        <v>0.0897987807130174</v>
      </c>
      <c r="BC28" s="18" t="n">
        <f aca="false">Algae_yield_cost_factor/K28</f>
        <v>0.0897987807130174</v>
      </c>
      <c r="BD28" s="18" t="n">
        <f aca="false">Algae_yield_cost_factor/L28</f>
        <v>0.0897987807130174</v>
      </c>
      <c r="BE28" s="18" t="n">
        <f aca="false">Algae_yield_cost_factor/M28</f>
        <v>0.085732826553726</v>
      </c>
      <c r="BF28" s="18" t="n">
        <f aca="false">Algae_yield_cost_factor/N28</f>
        <v>0.0834671171169087</v>
      </c>
      <c r="BG28" s="18" t="n">
        <f aca="false">Algae_yield_cost_factor/O28</f>
        <v>0.0802345838686461</v>
      </c>
      <c r="BH28" s="18" t="n">
        <f aca="false">Algae_yield_cost_factor/P28</f>
        <v>0.0759445554117821</v>
      </c>
      <c r="BI28" s="18" t="n">
        <f aca="false">Algae_yield_cost_factor/Q28</f>
        <v>0.0707666872565854</v>
      </c>
      <c r="BJ28" s="18" t="n">
        <f aca="false">Algae_yield_cost_factor/R28</f>
        <v>0.0651877528896214</v>
      </c>
      <c r="BK28" s="18" t="n">
        <f aca="false">Algae_yield_cost_factor/S28</f>
        <v>0.0598658538086782</v>
      </c>
      <c r="BL28" s="18" t="n">
        <f aca="false">Algae_yield_cost_factor/T28</f>
        <v>0.0553473230336676</v>
      </c>
      <c r="BM28" s="18" t="n">
        <f aca="false">Algae_yield_cost_factor/U28</f>
        <v>0.0518750675578443</v>
      </c>
      <c r="BN28" s="18" t="n">
        <f aca="false">Algae_yield_cost_factor/V28</f>
        <v>0.0494058328223631</v>
      </c>
      <c r="BO28" s="18" t="n">
        <f aca="false">Algae_yield_cost_factor/W28</f>
        <v>0.0477450660491048</v>
      </c>
      <c r="BP28" s="18" t="n">
        <f aca="false">Algae_yield_cost_factor/X28</f>
        <v>0.046669522890994</v>
      </c>
      <c r="BQ28" s="18" t="n">
        <f aca="false">Algae_yield_cost_factor/Y28</f>
        <v>0.0459899470547392</v>
      </c>
      <c r="BR28" s="18" t="n">
        <f aca="false">Algae_yield_cost_factor/Z28</f>
        <v>0.0455672289209237</v>
      </c>
      <c r="BS28" s="18" t="n">
        <f aca="false">Algae_yield_cost_factor/AA28</f>
        <v>0.0453068395206775</v>
      </c>
      <c r="BT28" s="18" t="n">
        <f aca="false">Algae_yield_cost_factor/AB28</f>
        <v>0.0451474063381876</v>
      </c>
      <c r="BU28" s="18" t="n">
        <f aca="false">Algae_yield_cost_factor/AC28</f>
        <v>0.0450501473165621</v>
      </c>
    </row>
    <row r="29" customFormat="false" ht="15" hidden="false" customHeight="false" outlineLevel="0" collapsed="false">
      <c r="A29" s="18" t="s">
        <v>695</v>
      </c>
      <c r="B29" s="18" t="s">
        <v>22</v>
      </c>
      <c r="C29" s="18" t="s">
        <v>684</v>
      </c>
      <c r="D29" s="18" t="s">
        <v>684</v>
      </c>
      <c r="E29" s="185" t="n">
        <v>8.20875</v>
      </c>
      <c r="F29" s="18" t="n">
        <f aca="false">E29/$B$2*$F$3/1000</f>
        <v>0.0201114375</v>
      </c>
      <c r="G29" s="18" t="n">
        <f aca="false">LOOKUP(RIGHT(D29,5),Ref!$C$4:$C$21,Ref!$E$4:$E$21)*$G$3</f>
        <v>3.5</v>
      </c>
      <c r="H29" s="222" t="n">
        <f aca="false">$E29</f>
        <v>8.20875</v>
      </c>
      <c r="I29" s="185" t="n">
        <f aca="false">$E29</f>
        <v>8.20875</v>
      </c>
      <c r="J29" s="185" t="n">
        <f aca="false">$E29</f>
        <v>8.20875</v>
      </c>
      <c r="K29" s="185" t="n">
        <f aca="false">$E29</f>
        <v>8.20875</v>
      </c>
      <c r="L29" s="185" t="n">
        <f aca="false">$E29</f>
        <v>8.20875</v>
      </c>
      <c r="M29" s="185" t="n">
        <f aca="false">M$3*$E29</f>
        <v>8.59805713644635</v>
      </c>
      <c r="N29" s="185" t="n">
        <f aca="false">N$3*$E29</f>
        <v>8.83145083524938</v>
      </c>
      <c r="O29" s="185" t="n">
        <f aca="false">O$3*$E29</f>
        <v>9.18725698614906</v>
      </c>
      <c r="P29" s="185" t="n">
        <f aca="false">P$3*$E29</f>
        <v>9.70623551854543</v>
      </c>
      <c r="Q29" s="185" t="n">
        <f aca="false">Q$3*$E29</f>
        <v>10.4164228926709</v>
      </c>
      <c r="R29" s="185" t="n">
        <f aca="false">R$3*$E29</f>
        <v>11.3078869649968</v>
      </c>
      <c r="S29" s="185" t="n">
        <f aca="false">S$3*$E29</f>
        <v>12.313125</v>
      </c>
      <c r="T29" s="185" t="n">
        <f aca="false">T$3*$E29</f>
        <v>13.3183630350032</v>
      </c>
      <c r="U29" s="185" t="n">
        <f aca="false">U$3*$E29</f>
        <v>14.2098271073291</v>
      </c>
      <c r="V29" s="185" t="n">
        <f aca="false">V$3*$E29</f>
        <v>14.9200144814546</v>
      </c>
      <c r="W29" s="185" t="n">
        <f aca="false">W$3*$E29</f>
        <v>15.4389930138509</v>
      </c>
      <c r="X29" s="185" t="n">
        <f aca="false">X$3*$E29</f>
        <v>15.7947991647506</v>
      </c>
      <c r="Y29" s="185" t="n">
        <f aca="false">Y$3*$E29</f>
        <v>16.0281928635537</v>
      </c>
      <c r="Z29" s="185" t="n">
        <f aca="false">Z$3*$E29</f>
        <v>16.1768832258198</v>
      </c>
      <c r="AA29" s="185" t="n">
        <f aca="false">AA$3*$E29</f>
        <v>16.2698556989737</v>
      </c>
      <c r="AB29" s="185" t="n">
        <f aca="false">AB$3*$E29</f>
        <v>16.3273109346811</v>
      </c>
      <c r="AC29" s="185" t="n">
        <f aca="false">AC$3*$E29</f>
        <v>16.3625600599753</v>
      </c>
      <c r="AD29" s="219" t="n">
        <f aca="false">Algae_electricity_factor/H29</f>
        <v>0.00167426186734025</v>
      </c>
      <c r="AE29" s="220" t="n">
        <f aca="false">Algae_electricity_factor/I29</f>
        <v>0.00167426186734025</v>
      </c>
      <c r="AF29" s="220" t="n">
        <f aca="false">Algae_electricity_factor/J29</f>
        <v>0.00167426186734025</v>
      </c>
      <c r="AG29" s="220" t="n">
        <f aca="false">Algae_electricity_factor/K29</f>
        <v>0.00167426186734025</v>
      </c>
      <c r="AH29" s="220" t="n">
        <f aca="false">Algae_electricity_factor/L29</f>
        <v>0.00167426186734025</v>
      </c>
      <c r="AI29" s="220" t="n">
        <f aca="false">Algae_electricity_factor/M29</f>
        <v>0.00159845380013485</v>
      </c>
      <c r="AJ29" s="220" t="n">
        <f aca="false">Algae_electricity_factor/N29</f>
        <v>0.00155621056606847</v>
      </c>
      <c r="AK29" s="220" t="n">
        <f aca="false">Algae_electricity_factor/O29</f>
        <v>0.00149594129393022</v>
      </c>
      <c r="AL29" s="220" t="n">
        <f aca="false">Algae_electricity_factor/P29</f>
        <v>0.0014159554522729</v>
      </c>
      <c r="AM29" s="220" t="n">
        <f aca="false">Algae_electricity_factor/Q29</f>
        <v>0.00131941619931727</v>
      </c>
      <c r="AN29" s="220" t="n">
        <f aca="false">Algae_electricity_factor/R29</f>
        <v>0.00121539922941149</v>
      </c>
      <c r="AO29" s="220" t="n">
        <f aca="false">Algae_electricity_factor/S29</f>
        <v>0.00111617457822683</v>
      </c>
      <c r="AP29" s="220" t="n">
        <f aca="false">Algae_electricity_factor/T29</f>
        <v>0.00103192840346884</v>
      </c>
      <c r="AQ29" s="220" t="n">
        <f aca="false">Algae_electricity_factor/U29</f>
        <v>0.000967189607566772</v>
      </c>
      <c r="AR29" s="220" t="n">
        <f aca="false">Algae_electricity_factor/V29</f>
        <v>0.000921151726803778</v>
      </c>
      <c r="AS29" s="220" t="n">
        <f aca="false">Algae_electricity_factor/W29</f>
        <v>0.000890187403491881</v>
      </c>
      <c r="AT29" s="220" t="n">
        <f aca="false">Algae_electricity_factor/X29</f>
        <v>0.000870134337269761</v>
      </c>
      <c r="AU29" s="220" t="n">
        <f aca="false">Algae_electricity_factor/Y29</f>
        <v>0.000857463921262184</v>
      </c>
      <c r="AV29" s="220" t="n">
        <f aca="false">Algae_electricity_factor/Z29</f>
        <v>0.000849582513001837</v>
      </c>
      <c r="AW29" s="220" t="n">
        <f aca="false">Algae_electricity_factor/AA29</f>
        <v>0.000844727658180534</v>
      </c>
      <c r="AX29" s="220" t="n">
        <f aca="false">Algae_electricity_factor/AB29</f>
        <v>0.000841755091117684</v>
      </c>
      <c r="AY29" s="220" t="n">
        <f aca="false">Algae_electricity_factor/AC29</f>
        <v>0.000839941736082466</v>
      </c>
      <c r="AZ29" s="211" t="n">
        <f aca="false">Algae_yield_cost_factor/H29</f>
        <v>0.0926867817007727</v>
      </c>
      <c r="BA29" s="18" t="n">
        <f aca="false">Algae_yield_cost_factor/I29</f>
        <v>0.0926867817007727</v>
      </c>
      <c r="BB29" s="18" t="n">
        <f aca="false">Algae_yield_cost_factor/J29</f>
        <v>0.0926867817007727</v>
      </c>
      <c r="BC29" s="18" t="n">
        <f aca="false">Algae_yield_cost_factor/K29</f>
        <v>0.0926867817007727</v>
      </c>
      <c r="BD29" s="18" t="n">
        <f aca="false">Algae_yield_cost_factor/L29</f>
        <v>0.0926867817007727</v>
      </c>
      <c r="BE29" s="18" t="n">
        <f aca="false">Algae_yield_cost_factor/M29</f>
        <v>0.0884900631866097</v>
      </c>
      <c r="BF29" s="18" t="n">
        <f aca="false">Algae_yield_cost_factor/N29</f>
        <v>0.0861514867126284</v>
      </c>
      <c r="BG29" s="18" t="n">
        <f aca="false">Algae_yield_cost_factor/O29</f>
        <v>0.0828149925960799</v>
      </c>
      <c r="BH29" s="18" t="n">
        <f aca="false">Algae_yield_cost_factor/P29</f>
        <v>0.0783869933747741</v>
      </c>
      <c r="BI29" s="18" t="n">
        <f aca="false">Algae_yield_cost_factor/Q29</f>
        <v>0.0730426008165962</v>
      </c>
      <c r="BJ29" s="18" t="n">
        <f aca="false">Algae_yield_cost_factor/R29</f>
        <v>0.0672842434348153</v>
      </c>
      <c r="BK29" s="18" t="n">
        <f aca="false">Algae_yield_cost_factor/S29</f>
        <v>0.0617911878005151</v>
      </c>
      <c r="BL29" s="18" t="n">
        <f aca="false">Algae_yield_cost_factor/T29</f>
        <v>0.0571273374427906</v>
      </c>
      <c r="BM29" s="18" t="n">
        <f aca="false">Algae_yield_cost_factor/U29</f>
        <v>0.0535434114391016</v>
      </c>
      <c r="BN29" s="18" t="n">
        <f aca="false">Algae_yield_cost_factor/V29</f>
        <v>0.050994764129213</v>
      </c>
      <c r="BO29" s="18" t="n">
        <f aca="false">Algae_yield_cost_factor/W29</f>
        <v>0.0492805857612368</v>
      </c>
      <c r="BP29" s="18" t="n">
        <f aca="false">Algae_yield_cost_factor/X29</f>
        <v>0.0481704522704028</v>
      </c>
      <c r="BQ29" s="18" t="n">
        <f aca="false">Algae_yield_cost_factor/Y29</f>
        <v>0.0474690207288615</v>
      </c>
      <c r="BR29" s="18" t="n">
        <f aca="false">Algae_yield_cost_factor/Z29</f>
        <v>0.0470327076399886</v>
      </c>
      <c r="BS29" s="18" t="n">
        <f aca="false">Algae_yield_cost_factor/AA29</f>
        <v>0.0467639439072722</v>
      </c>
      <c r="BT29" s="18" t="n">
        <f aca="false">Algae_yield_cost_factor/AB29</f>
        <v>0.0465993832254458</v>
      </c>
      <c r="BU29" s="18" t="n">
        <f aca="false">Algae_yield_cost_factor/AC29</f>
        <v>0.0464989962754867</v>
      </c>
    </row>
    <row r="30" customFormat="false" ht="15" hidden="false" customHeight="false" outlineLevel="0" collapsed="false">
      <c r="A30" s="18" t="s">
        <v>695</v>
      </c>
      <c r="B30" s="18" t="s">
        <v>22</v>
      </c>
      <c r="C30" s="18" t="s">
        <v>685</v>
      </c>
      <c r="D30" s="18" t="s">
        <v>685</v>
      </c>
      <c r="E30" s="185" t="n">
        <v>8.42325</v>
      </c>
      <c r="F30" s="18" t="n">
        <f aca="false">E30/$B$2*$F$3/1000</f>
        <v>0.0206369625</v>
      </c>
      <c r="G30" s="18" t="n">
        <f aca="false">LOOKUP(RIGHT(D30,5),Ref!$C$4:$C$21,Ref!$E$4:$E$21)*$G$3</f>
        <v>4</v>
      </c>
      <c r="H30" s="222" t="n">
        <f aca="false">$E30</f>
        <v>8.42325</v>
      </c>
      <c r="I30" s="185" t="n">
        <f aca="false">$E30</f>
        <v>8.42325</v>
      </c>
      <c r="J30" s="185" t="n">
        <f aca="false">$E30</f>
        <v>8.42325</v>
      </c>
      <c r="K30" s="185" t="n">
        <f aca="false">$E30</f>
        <v>8.42325</v>
      </c>
      <c r="L30" s="185" t="n">
        <f aca="false">$E30</f>
        <v>8.42325</v>
      </c>
      <c r="M30" s="185" t="n">
        <f aca="false">M$3*$E30</f>
        <v>8.82272998624294</v>
      </c>
      <c r="N30" s="185" t="n">
        <f aca="false">N$3*$E30</f>
        <v>9.06222241486394</v>
      </c>
      <c r="O30" s="185" t="n">
        <f aca="false">O$3*$E30</f>
        <v>9.4273260129228</v>
      </c>
      <c r="P30" s="185" t="n">
        <f aca="false">P$3*$E30</f>
        <v>9.95986579340189</v>
      </c>
      <c r="Q30" s="185" t="n">
        <f aca="false">Q$3*$E30</f>
        <v>10.6886108275548</v>
      </c>
      <c r="R30" s="185" t="n">
        <f aca="false">R$3*$E30</f>
        <v>11.603369438454</v>
      </c>
      <c r="S30" s="185" t="n">
        <f aca="false">S$3*$E30</f>
        <v>12.634875</v>
      </c>
      <c r="T30" s="185" t="n">
        <f aca="false">T$3*$E30</f>
        <v>13.666380561546</v>
      </c>
      <c r="U30" s="185" t="n">
        <f aca="false">U$3*$E30</f>
        <v>14.5811391724452</v>
      </c>
      <c r="V30" s="185" t="n">
        <f aca="false">V$3*$E30</f>
        <v>15.3098842065981</v>
      </c>
      <c r="W30" s="185" t="n">
        <f aca="false">W$3*$E30</f>
        <v>15.8424239870772</v>
      </c>
      <c r="X30" s="185" t="n">
        <f aca="false">X$3*$E30</f>
        <v>16.2075275851361</v>
      </c>
      <c r="Y30" s="185" t="n">
        <f aca="false">Y$3*$E30</f>
        <v>16.4470200137571</v>
      </c>
      <c r="Z30" s="185" t="n">
        <f aca="false">Z$3*$E30</f>
        <v>16.5995957523236</v>
      </c>
      <c r="AA30" s="185" t="n">
        <f aca="false">AA$3*$E30</f>
        <v>16.6949976569368</v>
      </c>
      <c r="AB30" s="185" t="n">
        <f aca="false">AB$3*$E30</f>
        <v>16.7539542354869</v>
      </c>
      <c r="AC30" s="185" t="n">
        <f aca="false">AC$3*$E30</f>
        <v>16.790124443452</v>
      </c>
      <c r="AD30" s="219" t="n">
        <f aca="false">Algae_electricity_factor/H30</f>
        <v>0.00163162640352943</v>
      </c>
      <c r="AE30" s="220" t="n">
        <f aca="false">Algae_electricity_factor/I30</f>
        <v>0.00163162640352943</v>
      </c>
      <c r="AF30" s="220" t="n">
        <f aca="false">Algae_electricity_factor/J30</f>
        <v>0.00163162640352943</v>
      </c>
      <c r="AG30" s="220" t="n">
        <f aca="false">Algae_electricity_factor/K30</f>
        <v>0.00163162640352943</v>
      </c>
      <c r="AH30" s="220" t="n">
        <f aca="false">Algae_electricity_factor/L30</f>
        <v>0.00163162640352943</v>
      </c>
      <c r="AI30" s="220" t="n">
        <f aca="false">Algae_electricity_factor/M30</f>
        <v>0.0015577488062039</v>
      </c>
      <c r="AJ30" s="220" t="n">
        <f aca="false">Algae_electricity_factor/N30</f>
        <v>0.00151658130581599</v>
      </c>
      <c r="AK30" s="220" t="n">
        <f aca="false">Algae_electricity_factor/O30</f>
        <v>0.00145784680456471</v>
      </c>
      <c r="AL30" s="220" t="n">
        <f aca="false">Algae_electricity_factor/P30</f>
        <v>0.00137989782077525</v>
      </c>
      <c r="AM30" s="220" t="n">
        <f aca="false">Algae_electricity_factor/Q30</f>
        <v>0.00128581696211624</v>
      </c>
      <c r="AN30" s="220" t="n">
        <f aca="false">Algae_electricity_factor/R30</f>
        <v>0.00118444880829033</v>
      </c>
      <c r="AO30" s="220" t="n">
        <f aca="false">Algae_electricity_factor/S30</f>
        <v>0.00108775093568629</v>
      </c>
      <c r="AP30" s="220" t="n">
        <f aca="false">Algae_electricity_factor/T30</f>
        <v>0.00100565010915915</v>
      </c>
      <c r="AQ30" s="220" t="n">
        <f aca="false">Algae_electricity_factor/U30</f>
        <v>0.000942559901595434</v>
      </c>
      <c r="AR30" s="220" t="n">
        <f aca="false">Algae_electricity_factor/V30</f>
        <v>0.000897694386062448</v>
      </c>
      <c r="AS30" s="220" t="n">
        <f aca="false">Algae_electricity_factor/W30</f>
        <v>0.000867518576370638</v>
      </c>
      <c r="AT30" s="220" t="n">
        <f aca="false">Algae_electricity_factor/X30</f>
        <v>0.000847976166095409</v>
      </c>
      <c r="AU30" s="220" t="n">
        <f aca="false">Algae_electricity_factor/Y30</f>
        <v>0.00083562840514777</v>
      </c>
      <c r="AV30" s="220" t="n">
        <f aca="false">Algae_electricity_factor/Z30</f>
        <v>0.000827947698762809</v>
      </c>
      <c r="AW30" s="220" t="n">
        <f aca="false">Algae_electricity_factor/AA30</f>
        <v>0.000823216473936956</v>
      </c>
      <c r="AX30" s="220" t="n">
        <f aca="false">Algae_electricity_factor/AB30</f>
        <v>0.000820319603978546</v>
      </c>
      <c r="AY30" s="220" t="n">
        <f aca="false">Algae_electricity_factor/AC30</f>
        <v>0.000818552426446674</v>
      </c>
      <c r="AZ30" s="211" t="n">
        <f aca="false">Algae_yield_cost_factor/H30</f>
        <v>0.09032649147137</v>
      </c>
      <c r="BA30" s="18" t="n">
        <f aca="false">Algae_yield_cost_factor/I30</f>
        <v>0.09032649147137</v>
      </c>
      <c r="BB30" s="18" t="n">
        <f aca="false">Algae_yield_cost_factor/J30</f>
        <v>0.09032649147137</v>
      </c>
      <c r="BC30" s="18" t="n">
        <f aca="false">Algae_yield_cost_factor/K30</f>
        <v>0.09032649147137</v>
      </c>
      <c r="BD30" s="18" t="n">
        <f aca="false">Algae_yield_cost_factor/L30</f>
        <v>0.09032649147137</v>
      </c>
      <c r="BE30" s="18" t="n">
        <f aca="false">Algae_yield_cost_factor/M30</f>
        <v>0.0862366433601142</v>
      </c>
      <c r="BF30" s="18" t="n">
        <f aca="false">Algae_yield_cost_factor/N30</f>
        <v>0.0839576192743048</v>
      </c>
      <c r="BG30" s="18" t="n">
        <f aca="false">Algae_yield_cost_factor/O30</f>
        <v>0.0807060897483835</v>
      </c>
      <c r="BH30" s="18" t="n">
        <f aca="false">Algae_yield_cost_factor/P30</f>
        <v>0.0763908505464253</v>
      </c>
      <c r="BI30" s="18" t="n">
        <f aca="false">Algae_yield_cost_factor/Q30</f>
        <v>0.0711825541748415</v>
      </c>
      <c r="BJ30" s="18" t="n">
        <f aca="false">Algae_yield_cost_factor/R30</f>
        <v>0.0655708346891687</v>
      </c>
      <c r="BK30" s="18" t="n">
        <f aca="false">Algae_yield_cost_factor/S30</f>
        <v>0.0602176609809134</v>
      </c>
      <c r="BL30" s="18" t="n">
        <f aca="false">Algae_yield_cost_factor/T30</f>
        <v>0.0556725766460104</v>
      </c>
      <c r="BM30" s="18" t="n">
        <f aca="false">Algae_yield_cost_factor/U30</f>
        <v>0.0521799161429051</v>
      </c>
      <c r="BN30" s="18" t="n">
        <f aca="false">Algae_yield_cost_factor/V30</f>
        <v>0.049696170723376</v>
      </c>
      <c r="BO30" s="18" t="n">
        <f aca="false">Algae_yield_cost_factor/W30</f>
        <v>0.0480256443020868</v>
      </c>
      <c r="BP30" s="18" t="n">
        <f aca="false">Algae_yield_cost_factor/X30</f>
        <v>0.0469437806161124</v>
      </c>
      <c r="BQ30" s="18" t="n">
        <f aca="false">Algae_yield_cost_factor/Y30</f>
        <v>0.0462602111902225</v>
      </c>
      <c r="BR30" s="18" t="n">
        <f aca="false">Algae_yield_cost_factor/Z30</f>
        <v>0.0458350089145824</v>
      </c>
      <c r="BS30" s="18" t="n">
        <f aca="false">Algae_yield_cost_factor/AA30</f>
        <v>0.04557308931218</v>
      </c>
      <c r="BT30" s="18" t="n">
        <f aca="false">Algae_yield_cost_factor/AB30</f>
        <v>0.0454127192059928</v>
      </c>
      <c r="BU30" s="18" t="n">
        <f aca="false">Algae_yield_cost_factor/AC30</f>
        <v>0.04531488863282</v>
      </c>
    </row>
    <row r="31" customFormat="false" ht="15" hidden="false" customHeight="false" outlineLevel="0" collapsed="false">
      <c r="A31" s="18" t="s">
        <v>695</v>
      </c>
      <c r="B31" s="18" t="s">
        <v>22</v>
      </c>
      <c r="C31" s="18" t="s">
        <v>686</v>
      </c>
      <c r="D31" s="18" t="s">
        <v>686</v>
      </c>
      <c r="E31" s="185" t="n">
        <v>8.14275</v>
      </c>
      <c r="F31" s="18" t="n">
        <f aca="false">E31/$B$2*$F$3/1000</f>
        <v>0.0199497375</v>
      </c>
      <c r="G31" s="18" t="n">
        <f aca="false">LOOKUP(RIGHT(D31,5),Ref!$C$4:$C$21,Ref!$E$4:$E$21)*$G$3</f>
        <v>4.5</v>
      </c>
      <c r="H31" s="222" t="n">
        <f aca="false">$E31</f>
        <v>8.14275</v>
      </c>
      <c r="I31" s="185" t="n">
        <f aca="false">$E31</f>
        <v>8.14275</v>
      </c>
      <c r="J31" s="185" t="n">
        <f aca="false">$E31</f>
        <v>8.14275</v>
      </c>
      <c r="K31" s="185" t="n">
        <f aca="false">$E31</f>
        <v>8.14275</v>
      </c>
      <c r="L31" s="185" t="n">
        <f aca="false">$E31</f>
        <v>8.14275</v>
      </c>
      <c r="M31" s="185" t="n">
        <f aca="false">M$3*$E31</f>
        <v>8.52892702881663</v>
      </c>
      <c r="N31" s="185" t="n">
        <f aca="false">N$3*$E31</f>
        <v>8.76044419536798</v>
      </c>
      <c r="O31" s="185" t="n">
        <f aca="false">O$3*$E31</f>
        <v>9.1133895932956</v>
      </c>
      <c r="P31" s="185" t="n">
        <f aca="false">P$3*$E31</f>
        <v>9.62819543397421</v>
      </c>
      <c r="Q31" s="185" t="n">
        <f aca="false">Q$3*$E31</f>
        <v>10.3326727588605</v>
      </c>
      <c r="R31" s="185" t="n">
        <f aca="false">R$3*$E31</f>
        <v>11.2169692808561</v>
      </c>
      <c r="S31" s="185" t="n">
        <f aca="false">S$3*$E31</f>
        <v>12.214125</v>
      </c>
      <c r="T31" s="185" t="n">
        <f aca="false">T$3*$E31</f>
        <v>13.2112807191439</v>
      </c>
      <c r="U31" s="185" t="n">
        <f aca="false">U$3*$E31</f>
        <v>14.0955772411395</v>
      </c>
      <c r="V31" s="185" t="n">
        <f aca="false">V$3*$E31</f>
        <v>14.8000545660258</v>
      </c>
      <c r="W31" s="185" t="n">
        <f aca="false">W$3*$E31</f>
        <v>15.3148604067044</v>
      </c>
      <c r="X31" s="185" t="n">
        <f aca="false">X$3*$E31</f>
        <v>15.667805804632</v>
      </c>
      <c r="Y31" s="185" t="n">
        <f aca="false">Y$3*$E31</f>
        <v>15.8993229711834</v>
      </c>
      <c r="Z31" s="185" t="n">
        <f aca="false">Z$3*$E31</f>
        <v>16.0468178330494</v>
      </c>
      <c r="AA31" s="185" t="n">
        <f aca="false">AA$3*$E31</f>
        <v>16.1390427888312</v>
      </c>
      <c r="AB31" s="185" t="n">
        <f aca="false">AB$3*$E31</f>
        <v>16.1960360728947</v>
      </c>
      <c r="AC31" s="185" t="n">
        <f aca="false">AC$3*$E31</f>
        <v>16.2310017881363</v>
      </c>
      <c r="AD31" s="219" t="n">
        <f aca="false">Algae_electricity_factor/H31</f>
        <v>0.00168783237892963</v>
      </c>
      <c r="AE31" s="220" t="n">
        <f aca="false">Algae_electricity_factor/I31</f>
        <v>0.00168783237892963</v>
      </c>
      <c r="AF31" s="220" t="n">
        <f aca="false">Algae_electricity_factor/J31</f>
        <v>0.00168783237892963</v>
      </c>
      <c r="AG31" s="220" t="n">
        <f aca="false">Algae_electricity_factor/K31</f>
        <v>0.00168783237892963</v>
      </c>
      <c r="AH31" s="220" t="n">
        <f aca="false">Algae_electricity_factor/L31</f>
        <v>0.00168783237892963</v>
      </c>
      <c r="AI31" s="220" t="n">
        <f aca="false">Algae_electricity_factor/M31</f>
        <v>0.00161140985930515</v>
      </c>
      <c r="AJ31" s="220" t="n">
        <f aca="false">Algae_electricity_factor/N31</f>
        <v>0.00156882422820479</v>
      </c>
      <c r="AK31" s="220" t="n">
        <f aca="false">Algae_electricity_factor/O31</f>
        <v>0.00150806645132783</v>
      </c>
      <c r="AL31" s="220" t="n">
        <f aca="false">Algae_electricity_factor/P31</f>
        <v>0.00142743229484451</v>
      </c>
      <c r="AM31" s="220" t="n">
        <f aca="false">Algae_electricity_factor/Q31</f>
        <v>0.00133011055554273</v>
      </c>
      <c r="AN31" s="220" t="n">
        <f aca="false">Algae_electricity_factor/R31</f>
        <v>0.00122525048962961</v>
      </c>
      <c r="AO31" s="220" t="n">
        <f aca="false">Algae_electricity_factor/S31</f>
        <v>0.00112522158595309</v>
      </c>
      <c r="AP31" s="220" t="n">
        <f aca="false">Algae_electricity_factor/T31</f>
        <v>0.00104029256479381</v>
      </c>
      <c r="AQ31" s="220" t="n">
        <f aca="false">Algae_electricity_factor/U31</f>
        <v>0.000975029037010069</v>
      </c>
      <c r="AR31" s="220" t="n">
        <f aca="false">Algae_electricity_factor/V31</f>
        <v>0.000928618002198338</v>
      </c>
      <c r="AS31" s="220" t="n">
        <f aca="false">Algae_electricity_factor/W31</f>
        <v>0.000897402701595159</v>
      </c>
      <c r="AT31" s="220" t="n">
        <f aca="false">Algae_electricity_factor/X31</f>
        <v>0.000877187097855535</v>
      </c>
      <c r="AU31" s="220" t="n">
        <f aca="false">Algae_electricity_factor/Y31</f>
        <v>0.000864413983440601</v>
      </c>
      <c r="AV31" s="220" t="n">
        <f aca="false">Algae_electricity_factor/Z31</f>
        <v>0.0008564686934517</v>
      </c>
      <c r="AW31" s="220" t="n">
        <f aca="false">Algae_electricity_factor/AA31</f>
        <v>0.000851574488236709</v>
      </c>
      <c r="AX31" s="220" t="n">
        <f aca="false">Algae_electricity_factor/AB31</f>
        <v>0.000848577827418536</v>
      </c>
      <c r="AY31" s="220" t="n">
        <f aca="false">Algae_electricity_factor/AC31</f>
        <v>0.000846749774470166</v>
      </c>
      <c r="AZ31" s="211" t="n">
        <f aca="false">Algae_yield_cost_factor/H31</f>
        <v>0.0934380423427242</v>
      </c>
      <c r="BA31" s="18" t="n">
        <f aca="false">Algae_yield_cost_factor/I31</f>
        <v>0.0934380423427242</v>
      </c>
      <c r="BB31" s="18" t="n">
        <f aca="false">Algae_yield_cost_factor/J31</f>
        <v>0.0934380423427242</v>
      </c>
      <c r="BC31" s="18" t="n">
        <f aca="false">Algae_yield_cost_factor/K31</f>
        <v>0.0934380423427242</v>
      </c>
      <c r="BD31" s="18" t="n">
        <f aca="false">Algae_yield_cost_factor/L31</f>
        <v>0.0934380423427242</v>
      </c>
      <c r="BE31" s="18" t="n">
        <f aca="false">Algae_yield_cost_factor/M31</f>
        <v>0.089207307873026</v>
      </c>
      <c r="BF31" s="18" t="n">
        <f aca="false">Algae_yield_cost_factor/N31</f>
        <v>0.0868497763718999</v>
      </c>
      <c r="BG31" s="18" t="n">
        <f aca="false">Algae_yield_cost_factor/O31</f>
        <v>0.0834862387366763</v>
      </c>
      <c r="BH31" s="18" t="n">
        <f aca="false">Algae_yield_cost_factor/P31</f>
        <v>0.0790223489441745</v>
      </c>
      <c r="BI31" s="18" t="n">
        <f aca="false">Algae_yield_cost_factor/Q31</f>
        <v>0.0736346381079161</v>
      </c>
      <c r="BJ31" s="18" t="n">
        <f aca="false">Algae_yield_cost_factor/R31</f>
        <v>0.0678296071100722</v>
      </c>
      <c r="BK31" s="18" t="n">
        <f aca="false">Algae_yield_cost_factor/S31</f>
        <v>0.0622920282284828</v>
      </c>
      <c r="BL31" s="18" t="n">
        <f aca="false">Algae_yield_cost_factor/T31</f>
        <v>0.0575903756388821</v>
      </c>
      <c r="BM31" s="18" t="n">
        <f aca="false">Algae_yield_cost_factor/U31</f>
        <v>0.0539774005895705</v>
      </c>
      <c r="BN31" s="18" t="n">
        <f aca="false">Algae_yield_cost_factor/V31</f>
        <v>0.0514080955507264</v>
      </c>
      <c r="BO31" s="18" t="n">
        <f aca="false">Algae_yield_cost_factor/W31</f>
        <v>0.0496800231331618</v>
      </c>
      <c r="BP31" s="18" t="n">
        <f aca="false">Algae_yield_cost_factor/X31</f>
        <v>0.0485608915998488</v>
      </c>
      <c r="BQ31" s="18" t="n">
        <f aca="false">Algae_yield_cost_factor/Y31</f>
        <v>0.0478537746962687</v>
      </c>
      <c r="BR31" s="18" t="n">
        <f aca="false">Algae_yield_cost_factor/Z31</f>
        <v>0.0474139251284586</v>
      </c>
      <c r="BS31" s="18" t="n">
        <f aca="false">Algae_yield_cost_factor/AA31</f>
        <v>0.0471429829662977</v>
      </c>
      <c r="BT31" s="18" t="n">
        <f aca="false">Algae_yield_cost_factor/AB31</f>
        <v>0.0469770884592894</v>
      </c>
      <c r="BU31" s="18" t="n">
        <f aca="false">Algae_yield_cost_factor/AC31</f>
        <v>0.046875887835977</v>
      </c>
    </row>
    <row r="32" customFormat="false" ht="15" hidden="false" customHeight="false" outlineLevel="0" collapsed="false">
      <c r="A32" s="18" t="s">
        <v>696</v>
      </c>
      <c r="B32" s="18" t="s">
        <v>22</v>
      </c>
      <c r="C32" s="18" t="s">
        <v>690</v>
      </c>
      <c r="D32" s="18" t="s">
        <v>690</v>
      </c>
      <c r="E32" s="185" t="n">
        <v>8.448</v>
      </c>
      <c r="F32" s="18" t="n">
        <f aca="false">E32/$B$2*$F$3/1000</f>
        <v>0.0206976</v>
      </c>
      <c r="G32" s="18" t="n">
        <f aca="false">LOOKUP(RIGHT(D32,5),Ref!$C$4:$C$21,Ref!$E$4:$E$21)*$G$3</f>
        <v>1.5</v>
      </c>
      <c r="H32" s="222" t="n">
        <f aca="false">$E32</f>
        <v>8.448</v>
      </c>
      <c r="I32" s="185" t="n">
        <f aca="false">$E32</f>
        <v>8.448</v>
      </c>
      <c r="J32" s="185" t="n">
        <f aca="false">$E32</f>
        <v>8.448</v>
      </c>
      <c r="K32" s="185" t="n">
        <f aca="false">$E32</f>
        <v>8.448</v>
      </c>
      <c r="L32" s="185" t="n">
        <f aca="false">$E32</f>
        <v>8.448</v>
      </c>
      <c r="M32" s="185" t="n">
        <f aca="false">M$3*$E32</f>
        <v>8.84865377660409</v>
      </c>
      <c r="N32" s="185" t="n">
        <f aca="false">N$3*$E32</f>
        <v>9.08884990481947</v>
      </c>
      <c r="O32" s="185" t="n">
        <f aca="false">O$3*$E32</f>
        <v>9.45502628524285</v>
      </c>
      <c r="P32" s="185" t="n">
        <f aca="false">P$3*$E32</f>
        <v>9.9891308251161</v>
      </c>
      <c r="Q32" s="185" t="n">
        <f aca="false">Q$3*$E32</f>
        <v>10.7200171277337</v>
      </c>
      <c r="R32" s="185" t="n">
        <f aca="false">R$3*$E32</f>
        <v>11.6374635700067</v>
      </c>
      <c r="S32" s="185" t="n">
        <f aca="false">S$3*$E32</f>
        <v>12.672</v>
      </c>
      <c r="T32" s="185" t="n">
        <f aca="false">T$3*$E32</f>
        <v>13.7065364299933</v>
      </c>
      <c r="U32" s="185" t="n">
        <f aca="false">U$3*$E32</f>
        <v>14.6239828722663</v>
      </c>
      <c r="V32" s="185" t="n">
        <f aca="false">V$3*$E32</f>
        <v>15.3548691748839</v>
      </c>
      <c r="W32" s="185" t="n">
        <f aca="false">W$3*$E32</f>
        <v>15.8889737147571</v>
      </c>
      <c r="X32" s="185" t="n">
        <f aca="false">X$3*$E32</f>
        <v>16.2551500951805</v>
      </c>
      <c r="Y32" s="185" t="n">
        <f aca="false">Y$3*$E32</f>
        <v>16.4953462233959</v>
      </c>
      <c r="Z32" s="185" t="n">
        <f aca="false">Z$3*$E32</f>
        <v>16.6483702746125</v>
      </c>
      <c r="AA32" s="185" t="n">
        <f aca="false">AA$3*$E32</f>
        <v>16.7440524982403</v>
      </c>
      <c r="AB32" s="185" t="n">
        <f aca="false">AB$3*$E32</f>
        <v>16.8031823086568</v>
      </c>
      <c r="AC32" s="185" t="n">
        <f aca="false">AC$3*$E32</f>
        <v>16.8394587953916</v>
      </c>
      <c r="AD32" s="219" t="n">
        <f aca="false">Algae_electricity_factor/H32</f>
        <v>0.00162684624805034</v>
      </c>
      <c r="AE32" s="220" t="n">
        <f aca="false">Algae_electricity_factor/I32</f>
        <v>0.00162684624805034</v>
      </c>
      <c r="AF32" s="220" t="n">
        <f aca="false">Algae_electricity_factor/J32</f>
        <v>0.00162684624805034</v>
      </c>
      <c r="AG32" s="220" t="n">
        <f aca="false">Algae_electricity_factor/K32</f>
        <v>0.00162684624805034</v>
      </c>
      <c r="AH32" s="220" t="n">
        <f aca="false">Algae_electricity_factor/L32</f>
        <v>0.00162684624805034</v>
      </c>
      <c r="AI32" s="220" t="n">
        <f aca="false">Algae_electricity_factor/M32</f>
        <v>0.00155318508899822</v>
      </c>
      <c r="AJ32" s="220" t="n">
        <f aca="false">Algae_electricity_factor/N32</f>
        <v>0.0015121381965216</v>
      </c>
      <c r="AK32" s="220" t="n">
        <f aca="false">Algae_electricity_factor/O32</f>
        <v>0.00145357576900446</v>
      </c>
      <c r="AL32" s="220" t="n">
        <f aca="false">Algae_electricity_factor/P32</f>
        <v>0.00137585515137845</v>
      </c>
      <c r="AM32" s="220" t="n">
        <f aca="false">Algae_electricity_factor/Q32</f>
        <v>0.00128204992023504</v>
      </c>
      <c r="AN32" s="220" t="n">
        <f aca="false">Algae_electricity_factor/R32</f>
        <v>0.00118097874342229</v>
      </c>
      <c r="AO32" s="220" t="n">
        <f aca="false">Algae_electricity_factor/S32</f>
        <v>0.00108456416536689</v>
      </c>
      <c r="AP32" s="220" t="n">
        <f aca="false">Algae_electricity_factor/T32</f>
        <v>0.00100270386860497</v>
      </c>
      <c r="AQ32" s="220" t="n">
        <f aca="false">Algae_electricity_factor/U32</f>
        <v>0.000939798495633728</v>
      </c>
      <c r="AR32" s="220" t="n">
        <f aca="false">Algae_electricity_factor/V32</f>
        <v>0.000895064422040781</v>
      </c>
      <c r="AS32" s="220" t="n">
        <f aca="false">Algae_electricity_factor/W32</f>
        <v>0.000864977018041427</v>
      </c>
      <c r="AT32" s="220" t="n">
        <f aca="false">Algae_electricity_factor/X32</f>
        <v>0.000845491860921301</v>
      </c>
      <c r="AU32" s="220" t="n">
        <f aca="false">Algae_electricity_factor/Y32</f>
        <v>0.000833180275054563</v>
      </c>
      <c r="AV32" s="220" t="n">
        <f aca="false">Algae_electricity_factor/Z32</f>
        <v>0.00082552207073909</v>
      </c>
      <c r="AW32" s="220" t="n">
        <f aca="false">Algae_electricity_factor/AA32</f>
        <v>0.000820804706923468</v>
      </c>
      <c r="AX32" s="220" t="n">
        <f aca="false">Algae_electricity_factor/AB32</f>
        <v>0.000817916323888765</v>
      </c>
      <c r="AY32" s="220" t="n">
        <f aca="false">Algae_electricity_factor/AC32</f>
        <v>0.000816154323634818</v>
      </c>
      <c r="AZ32" s="211" t="n">
        <f aca="false">Algae_yield_cost_factor/H32</f>
        <v>0.0900618630783875</v>
      </c>
      <c r="BA32" s="18" t="n">
        <f aca="false">Algae_yield_cost_factor/I32</f>
        <v>0.0900618630783875</v>
      </c>
      <c r="BB32" s="18" t="n">
        <f aca="false">Algae_yield_cost_factor/J32</f>
        <v>0.0900618630783875</v>
      </c>
      <c r="BC32" s="18" t="n">
        <f aca="false">Algae_yield_cost_factor/K32</f>
        <v>0.0900618630783875</v>
      </c>
      <c r="BD32" s="18" t="n">
        <f aca="false">Algae_yield_cost_factor/L32</f>
        <v>0.0900618630783875</v>
      </c>
      <c r="BE32" s="18" t="n">
        <f aca="false">Algae_yield_cost_factor/M32</f>
        <v>0.0859839969440201</v>
      </c>
      <c r="BF32" s="18" t="n">
        <f aca="false">Algae_yield_cost_factor/N32</f>
        <v>0.0837116496865871</v>
      </c>
      <c r="BG32" s="18" t="n">
        <f aca="false">Algae_yield_cost_factor/O32</f>
        <v>0.0804696461260738</v>
      </c>
      <c r="BH32" s="18" t="n">
        <f aca="false">Algae_yield_cost_factor/P32</f>
        <v>0.0761670492264651</v>
      </c>
      <c r="BI32" s="18" t="n">
        <f aca="false">Algae_yield_cost_factor/Q32</f>
        <v>0.0709740115356574</v>
      </c>
      <c r="BJ32" s="18" t="n">
        <f aca="false">Algae_yield_cost_factor/R32</f>
        <v>0.0653787326344152</v>
      </c>
      <c r="BK32" s="18" t="n">
        <f aca="false">Algae_yield_cost_factor/S32</f>
        <v>0.0600412420522583</v>
      </c>
      <c r="BL32" s="18" t="n">
        <f aca="false">Algae_yield_cost_factor/T32</f>
        <v>0.0555094733941178</v>
      </c>
      <c r="BM32" s="18" t="n">
        <f aca="false">Algae_yield_cost_factor/U32</f>
        <v>0.0520270452948301</v>
      </c>
      <c r="BN32" s="18" t="n">
        <f aca="false">Algae_yield_cost_factor/V32</f>
        <v>0.0495505764732099</v>
      </c>
      <c r="BO32" s="18" t="n">
        <f aca="false">Algae_yield_cost_factor/W32</f>
        <v>0.0478849441722956</v>
      </c>
      <c r="BP32" s="18" t="n">
        <f aca="false">Algae_yield_cost_factor/X32</f>
        <v>0.0468062500088387</v>
      </c>
      <c r="BQ32" s="18" t="n">
        <f aca="false">Algae_yield_cost_factor/Y32</f>
        <v>0.0461246832277511</v>
      </c>
      <c r="BR32" s="18" t="n">
        <f aca="false">Algae_yield_cost_factor/Z32</f>
        <v>0.0457007266619029</v>
      </c>
      <c r="BS32" s="18" t="n">
        <f aca="false">Algae_yield_cost_factor/AA32</f>
        <v>0.0454395744020858</v>
      </c>
      <c r="BT32" s="18" t="n">
        <f aca="false">Algae_yield_cost_factor/AB32</f>
        <v>0.045279674130194</v>
      </c>
      <c r="BU32" s="18" t="n">
        <f aca="false">Algae_yield_cost_factor/AC32</f>
        <v>0.0451821301700286</v>
      </c>
    </row>
    <row r="33" customFormat="false" ht="15" hidden="false" customHeight="false" outlineLevel="0" collapsed="false">
      <c r="A33" s="18" t="s">
        <v>696</v>
      </c>
      <c r="B33" s="18" t="s">
        <v>22</v>
      </c>
      <c r="C33" s="18" t="s">
        <v>691</v>
      </c>
      <c r="D33" s="18" t="s">
        <v>691</v>
      </c>
      <c r="E33" s="185" t="n">
        <v>7.58175</v>
      </c>
      <c r="F33" s="18" t="n">
        <f aca="false">E33/$B$2*$F$3/1000</f>
        <v>0.0185752875</v>
      </c>
      <c r="G33" s="18" t="n">
        <f aca="false">LOOKUP(RIGHT(D33,5),Ref!$C$4:$C$21,Ref!$E$4:$E$21)*$G$3</f>
        <v>2</v>
      </c>
      <c r="H33" s="222" t="n">
        <f aca="false">$E33</f>
        <v>7.58175</v>
      </c>
      <c r="I33" s="185" t="n">
        <f aca="false">$E33</f>
        <v>7.58175</v>
      </c>
      <c r="J33" s="185" t="n">
        <f aca="false">$E33</f>
        <v>7.58175</v>
      </c>
      <c r="K33" s="185" t="n">
        <f aca="false">$E33</f>
        <v>7.58175</v>
      </c>
      <c r="L33" s="185" t="n">
        <f aca="false">$E33</f>
        <v>7.58175</v>
      </c>
      <c r="M33" s="185" t="n">
        <f aca="false">M$3*$E33</f>
        <v>7.94132111396402</v>
      </c>
      <c r="N33" s="185" t="n">
        <f aca="false">N$3*$E33</f>
        <v>8.15688775637606</v>
      </c>
      <c r="O33" s="185" t="n">
        <f aca="false">O$3*$E33</f>
        <v>8.48551675404119</v>
      </c>
      <c r="P33" s="185" t="n">
        <f aca="false">P$3*$E33</f>
        <v>8.96485471511884</v>
      </c>
      <c r="Q33" s="185" t="n">
        <f aca="false">Q$3*$E33</f>
        <v>9.62079662147196</v>
      </c>
      <c r="R33" s="185" t="n">
        <f aca="false">R$3*$E33</f>
        <v>10.4441689656603</v>
      </c>
      <c r="S33" s="185" t="n">
        <f aca="false">S$3*$E33</f>
        <v>11.372625</v>
      </c>
      <c r="T33" s="185" t="n">
        <f aca="false">T$3*$E33</f>
        <v>12.3010810343397</v>
      </c>
      <c r="U33" s="185" t="n">
        <f aca="false">U$3*$E33</f>
        <v>13.124453378528</v>
      </c>
      <c r="V33" s="185" t="n">
        <f aca="false">V$3*$E33</f>
        <v>13.7803952848812</v>
      </c>
      <c r="W33" s="185" t="n">
        <f aca="false">W$3*$E33</f>
        <v>14.2597332459588</v>
      </c>
      <c r="X33" s="185" t="n">
        <f aca="false">X$3*$E33</f>
        <v>14.5883622436239</v>
      </c>
      <c r="Y33" s="185" t="n">
        <f aca="false">Y$3*$E33</f>
        <v>14.803928886036</v>
      </c>
      <c r="Z33" s="185" t="n">
        <f aca="false">Z$3*$E33</f>
        <v>14.9412619945009</v>
      </c>
      <c r="AA33" s="185" t="n">
        <f aca="false">AA$3*$E33</f>
        <v>15.0271330526199</v>
      </c>
      <c r="AB33" s="185" t="n">
        <f aca="false">AB$3*$E33</f>
        <v>15.0801997477105</v>
      </c>
      <c r="AC33" s="185" t="n">
        <f aca="false">AC$3*$E33</f>
        <v>15.1127564775048</v>
      </c>
      <c r="AD33" s="219" t="n">
        <f aca="false">Algae_electricity_factor/H33</f>
        <v>0.00181272095539015</v>
      </c>
      <c r="AE33" s="220" t="n">
        <f aca="false">Algae_electricity_factor/I33</f>
        <v>0.00181272095539015</v>
      </c>
      <c r="AF33" s="220" t="n">
        <f aca="false">Algae_electricity_factor/J33</f>
        <v>0.00181272095539015</v>
      </c>
      <c r="AG33" s="220" t="n">
        <f aca="false">Algae_electricity_factor/K33</f>
        <v>0.00181272095539015</v>
      </c>
      <c r="AH33" s="220" t="n">
        <f aca="false">Algae_electricity_factor/L33</f>
        <v>0.00181272095539015</v>
      </c>
      <c r="AI33" s="220" t="n">
        <f aca="false">Algae_electricity_factor/M33</f>
        <v>0.00173064366826352</v>
      </c>
      <c r="AJ33" s="220" t="n">
        <f aca="false">Algae_electricity_factor/N33</f>
        <v>0.00168490697849632</v>
      </c>
      <c r="AK33" s="220" t="n">
        <f aca="false">Algae_electricity_factor/O33</f>
        <v>0.00161965352280802</v>
      </c>
      <c r="AL33" s="220" t="n">
        <f aca="false">Algae_electricity_factor/P33</f>
        <v>0.00153305296519209</v>
      </c>
      <c r="AM33" s="220" t="n">
        <f aca="false">Algae_electricity_factor/Q33</f>
        <v>0.00142853005257963</v>
      </c>
      <c r="AN33" s="220" t="n">
        <f aca="false">Algae_electricity_factor/R33</f>
        <v>0.00131591102640308</v>
      </c>
      <c r="AO33" s="220" t="n">
        <f aca="false">Algae_electricity_factor/S33</f>
        <v>0.00120848063692677</v>
      </c>
      <c r="AP33" s="220" t="n">
        <f aca="false">Algae_electricity_factor/T33</f>
        <v>0.00111726742268933</v>
      </c>
      <c r="AQ33" s="220" t="n">
        <f aca="false">Algae_electricity_factor/U33</f>
        <v>0.00104717481994444</v>
      </c>
      <c r="AR33" s="220" t="n">
        <f aca="false">Algae_electricity_factor/V33</f>
        <v>0.000997329671566659</v>
      </c>
      <c r="AS33" s="220" t="n">
        <f aca="false">Algae_electricity_factor/W33</f>
        <v>0.000963804642518413</v>
      </c>
      <c r="AT33" s="220" t="n">
        <f aca="false">Algae_electricity_factor/X33</f>
        <v>0.000942093216086412</v>
      </c>
      <c r="AU33" s="220" t="n">
        <f aca="false">Algae_electricity_factor/Y33</f>
        <v>0.000928374974598338</v>
      </c>
      <c r="AV33" s="220" t="n">
        <f aca="false">Algae_electricity_factor/Z33</f>
        <v>0.000919841785023752</v>
      </c>
      <c r="AW33" s="220" t="n">
        <f aca="false">Algae_electricity_factor/AA33</f>
        <v>0.000914585440576313</v>
      </c>
      <c r="AX33" s="220" t="n">
        <f aca="false">Algae_electricity_factor/AB33</f>
        <v>0.000911367046422302</v>
      </c>
      <c r="AY33" s="220" t="n">
        <f aca="false">Algae_electricity_factor/AC33</f>
        <v>0.00090940372949081</v>
      </c>
      <c r="AZ33" s="211" t="n">
        <f aca="false">Algae_yield_cost_factor/H33</f>
        <v>0.10035184743446</v>
      </c>
      <c r="BA33" s="18" t="n">
        <f aca="false">Algae_yield_cost_factor/I33</f>
        <v>0.10035184743446</v>
      </c>
      <c r="BB33" s="18" t="n">
        <f aca="false">Algae_yield_cost_factor/J33</f>
        <v>0.10035184743446</v>
      </c>
      <c r="BC33" s="18" t="n">
        <f aca="false">Algae_yield_cost_factor/K33</f>
        <v>0.10035184743446</v>
      </c>
      <c r="BD33" s="18" t="n">
        <f aca="false">Algae_yield_cost_factor/L33</f>
        <v>0.10035184743446</v>
      </c>
      <c r="BE33" s="18" t="n">
        <f aca="false">Algae_yield_cost_factor/M33</f>
        <v>0.0958080662357743</v>
      </c>
      <c r="BF33" s="18" t="n">
        <f aca="false">Algae_yield_cost_factor/N33</f>
        <v>0.0932760927955008</v>
      </c>
      <c r="BG33" s="18" t="n">
        <f aca="false">Algae_yield_cost_factor/O33</f>
        <v>0.0896636753352552</v>
      </c>
      <c r="BH33" s="18" t="n">
        <f aca="false">Algae_yield_cost_factor/P33</f>
        <v>0.0848694868421113</v>
      </c>
      <c r="BI33" s="18" t="n">
        <f aca="false">Algae_yield_cost_factor/Q33</f>
        <v>0.0790831205794485</v>
      </c>
      <c r="BJ33" s="18" t="n">
        <f aca="false">Algae_yield_cost_factor/R33</f>
        <v>0.0728485551878577</v>
      </c>
      <c r="BK33" s="18" t="n">
        <f aca="false">Algae_yield_cost_factor/S33</f>
        <v>0.0669012316229734</v>
      </c>
      <c r="BL33" s="18" t="n">
        <f aca="false">Algae_yield_cost_factor/T33</f>
        <v>0.0618516874380595</v>
      </c>
      <c r="BM33" s="18" t="n">
        <f aca="false">Algae_yield_cost_factor/U33</f>
        <v>0.0579713758236192</v>
      </c>
      <c r="BN33" s="18" t="n">
        <f aca="false">Algae_yield_cost_factor/V33</f>
        <v>0.0552119589864711</v>
      </c>
      <c r="BO33" s="18" t="n">
        <f aca="false">Algae_yield_cost_factor/W33</f>
        <v>0.0533560204923076</v>
      </c>
      <c r="BP33" s="18" t="n">
        <f aca="false">Algae_yield_cost_factor/X33</f>
        <v>0.0521540805321554</v>
      </c>
      <c r="BQ33" s="18" t="n">
        <f aca="false">Algae_yield_cost_factor/Y33</f>
        <v>0.0513946415943604</v>
      </c>
      <c r="BR33" s="18" t="n">
        <f aca="false">Algae_yield_cost_factor/Z33</f>
        <v>0.0509222460302379</v>
      </c>
      <c r="BS33" s="18" t="n">
        <f aca="false">Algae_yield_cost_factor/AA33</f>
        <v>0.0506312559170139</v>
      </c>
      <c r="BT33" s="18" t="n">
        <f aca="false">Algae_yield_cost_factor/AB33</f>
        <v>0.050453086299585</v>
      </c>
      <c r="BU33" s="18" t="n">
        <f aca="false">Algae_yield_cost_factor/AC33</f>
        <v>0.0503443974908697</v>
      </c>
    </row>
    <row r="34" customFormat="false" ht="15" hidden="false" customHeight="false" outlineLevel="0" collapsed="false">
      <c r="A34" s="18" t="s">
        <v>696</v>
      </c>
      <c r="B34" s="18" t="s">
        <v>22</v>
      </c>
      <c r="C34" s="18" t="s">
        <v>692</v>
      </c>
      <c r="D34" s="18" t="s">
        <v>692</v>
      </c>
      <c r="E34" s="185" t="n">
        <v>7.86225</v>
      </c>
      <c r="F34" s="18" t="n">
        <f aca="false">E34/$B$2*$F$3/1000</f>
        <v>0.0192625125</v>
      </c>
      <c r="G34" s="18" t="n">
        <f aca="false">LOOKUP(RIGHT(D34,5),Ref!$C$4:$C$21,Ref!$E$4:$E$21)*$G$3</f>
        <v>2.5</v>
      </c>
      <c r="H34" s="222" t="n">
        <f aca="false">$E34</f>
        <v>7.86225</v>
      </c>
      <c r="I34" s="185" t="n">
        <f aca="false">$E34</f>
        <v>7.86225</v>
      </c>
      <c r="J34" s="185" t="n">
        <f aca="false">$E34</f>
        <v>7.86225</v>
      </c>
      <c r="K34" s="185" t="n">
        <f aca="false">$E34</f>
        <v>7.86225</v>
      </c>
      <c r="L34" s="185" t="n">
        <f aca="false">$E34</f>
        <v>7.86225</v>
      </c>
      <c r="M34" s="185" t="n">
        <f aca="false">M$3*$E34</f>
        <v>8.23512407139032</v>
      </c>
      <c r="N34" s="185" t="n">
        <f aca="false">N$3*$E34</f>
        <v>8.45866597587202</v>
      </c>
      <c r="O34" s="185" t="n">
        <f aca="false">O$3*$E34</f>
        <v>8.79945317366839</v>
      </c>
      <c r="P34" s="185" t="n">
        <f aca="false">P$3*$E34</f>
        <v>9.29652507454652</v>
      </c>
      <c r="Q34" s="185" t="n">
        <f aca="false">Q$3*$E34</f>
        <v>9.97673469016624</v>
      </c>
      <c r="R34" s="185" t="n">
        <f aca="false">R$3*$E34</f>
        <v>10.8305691232582</v>
      </c>
      <c r="S34" s="185" t="n">
        <f aca="false">S$3*$E34</f>
        <v>11.793375</v>
      </c>
      <c r="T34" s="185" t="n">
        <f aca="false">T$3*$E34</f>
        <v>12.7561808767418</v>
      </c>
      <c r="U34" s="185" t="n">
        <f aca="false">U$3*$E34</f>
        <v>13.6100153098338</v>
      </c>
      <c r="V34" s="185" t="n">
        <f aca="false">V$3*$E34</f>
        <v>14.2902249254535</v>
      </c>
      <c r="W34" s="185" t="n">
        <f aca="false">W$3*$E34</f>
        <v>14.7872968263316</v>
      </c>
      <c r="X34" s="185" t="n">
        <f aca="false">X$3*$E34</f>
        <v>15.128084024128</v>
      </c>
      <c r="Y34" s="185" t="n">
        <f aca="false">Y$3*$E34</f>
        <v>15.3516259286097</v>
      </c>
      <c r="Z34" s="185" t="n">
        <f aca="false">Z$3*$E34</f>
        <v>15.4940399137751</v>
      </c>
      <c r="AA34" s="185" t="n">
        <f aca="false">AA$3*$E34</f>
        <v>15.5830879207255</v>
      </c>
      <c r="AB34" s="185" t="n">
        <f aca="false">AB$3*$E34</f>
        <v>15.6381179103026</v>
      </c>
      <c r="AC34" s="185" t="n">
        <f aca="false">AC$3*$E34</f>
        <v>15.6718791328205</v>
      </c>
      <c r="AD34" s="219" t="n">
        <f aca="false">Algae_electricity_factor/H34</f>
        <v>0.00174804885414853</v>
      </c>
      <c r="AE34" s="220" t="n">
        <f aca="false">Algae_electricity_factor/I34</f>
        <v>0.00174804885414853</v>
      </c>
      <c r="AF34" s="220" t="n">
        <f aca="false">Algae_electricity_factor/J34</f>
        <v>0.00174804885414853</v>
      </c>
      <c r="AG34" s="220" t="n">
        <f aca="false">Algae_electricity_factor/K34</f>
        <v>0.00174804885414853</v>
      </c>
      <c r="AH34" s="220" t="n">
        <f aca="false">Algae_electricity_factor/L34</f>
        <v>0.00174804885414853</v>
      </c>
      <c r="AI34" s="220" t="n">
        <f aca="false">Algae_electricity_factor/M34</f>
        <v>0.00166889982280606</v>
      </c>
      <c r="AJ34" s="220" t="n">
        <f aca="false">Algae_electricity_factor/N34</f>
        <v>0.00162479487223308</v>
      </c>
      <c r="AK34" s="220" t="n">
        <f aca="false">Algae_electricity_factor/O34</f>
        <v>0.00156186945169</v>
      </c>
      <c r="AL34" s="220" t="n">
        <f aca="false">Algae_electricity_factor/P34</f>
        <v>0.00147835852572039</v>
      </c>
      <c r="AM34" s="220" t="n">
        <f aca="false">Algae_electricity_factor/Q34</f>
        <v>0.00137756465720953</v>
      </c>
      <c r="AN34" s="220" t="n">
        <f aca="false">Algae_electricity_factor/R34</f>
        <v>0.00126896351864053</v>
      </c>
      <c r="AO34" s="220" t="n">
        <f aca="false">Algae_electricity_factor/S34</f>
        <v>0.00116536590276568</v>
      </c>
      <c r="AP34" s="220" t="n">
        <f aca="false">Algae_electricity_factor/T34</f>
        <v>0.00107740688504879</v>
      </c>
      <c r="AQ34" s="220" t="n">
        <f aca="false">Algae_electricity_factor/U34</f>
        <v>0.00100981496277958</v>
      </c>
      <c r="AR34" s="220" t="n">
        <f aca="false">Algae_electricity_factor/V34</f>
        <v>0.000961748130293557</v>
      </c>
      <c r="AS34" s="220" t="n">
        <f aca="false">Algae_electricity_factor/W34</f>
        <v>0.000929419167339372</v>
      </c>
      <c r="AT34" s="220" t="n">
        <f aca="false">Algae_electricity_factor/X34</f>
        <v>0.000908482335344609</v>
      </c>
      <c r="AU34" s="220" t="n">
        <f aca="false">Algae_electricity_factor/Y34</f>
        <v>0.000895253516952647</v>
      </c>
      <c r="AV34" s="220" t="n">
        <f aca="false">Algae_electricity_factor/Z34</f>
        <v>0.000887024764361835</v>
      </c>
      <c r="AW34" s="220" t="n">
        <f aca="false">Algae_electricity_factor/AA34</f>
        <v>0.000881955949516927</v>
      </c>
      <c r="AX34" s="220" t="n">
        <f aca="false">Algae_electricity_factor/AB34</f>
        <v>0.00087885237739989</v>
      </c>
      <c r="AY34" s="220" t="n">
        <f aca="false">Algae_electricity_factor/AC34</f>
        <v>0.000876959105353677</v>
      </c>
      <c r="AZ34" s="211" t="n">
        <f aca="false">Algae_yield_cost_factor/H34</f>
        <v>0.0967716136330208</v>
      </c>
      <c r="BA34" s="18" t="n">
        <f aca="false">Algae_yield_cost_factor/I34</f>
        <v>0.0967716136330208</v>
      </c>
      <c r="BB34" s="18" t="n">
        <f aca="false">Algae_yield_cost_factor/J34</f>
        <v>0.0967716136330208</v>
      </c>
      <c r="BC34" s="18" t="n">
        <f aca="false">Algae_yield_cost_factor/K34</f>
        <v>0.0967716136330208</v>
      </c>
      <c r="BD34" s="18" t="n">
        <f aca="false">Algae_yield_cost_factor/L34</f>
        <v>0.0967716136330208</v>
      </c>
      <c r="BE34" s="18" t="n">
        <f aca="false">Algae_yield_cost_factor/M34</f>
        <v>0.0923899400531759</v>
      </c>
      <c r="BF34" s="18" t="n">
        <f aca="false">Algae_yield_cost_factor/N34</f>
        <v>0.089948299348442</v>
      </c>
      <c r="BG34" s="18" t="n">
        <f aca="false">Algae_yield_cost_factor/O34</f>
        <v>0.0864647614198316</v>
      </c>
      <c r="BH34" s="18" t="n">
        <f aca="false">Algae_yield_cost_factor/P34</f>
        <v>0.0818416142790139</v>
      </c>
      <c r="BI34" s="18" t="n">
        <f aca="false">Algae_yield_cost_factor/Q34</f>
        <v>0.0762616871065196</v>
      </c>
      <c r="BJ34" s="18" t="n">
        <f aca="false">Algae_yield_cost_factor/R34</f>
        <v>0.0702495511202951</v>
      </c>
      <c r="BK34" s="18" t="n">
        <f aca="false">Algae_yield_cost_factor/S34</f>
        <v>0.0645144090886805</v>
      </c>
      <c r="BL34" s="18" t="n">
        <f aca="false">Algae_yield_cost_factor/T34</f>
        <v>0.0596450165326093</v>
      </c>
      <c r="BM34" s="18" t="n">
        <f aca="false">Algae_yield_cost_factor/U34</f>
        <v>0.0559031420586632</v>
      </c>
      <c r="BN34" s="18" t="n">
        <f aca="false">Algae_yield_cost_factor/V34</f>
        <v>0.0532421724119275</v>
      </c>
      <c r="BO34" s="18" t="n">
        <f aca="false">Algae_yield_cost_factor/W34</f>
        <v>0.0514524478829283</v>
      </c>
      <c r="BP34" s="18" t="n">
        <f aca="false">Algae_yield_cost_factor/X34</f>
        <v>0.0502933893064541</v>
      </c>
      <c r="BQ34" s="18" t="n">
        <f aca="false">Algae_yield_cost_factor/Y34</f>
        <v>0.0495610447274052</v>
      </c>
      <c r="BR34" s="18" t="n">
        <f aca="false">Algae_yield_cost_factor/Z34</f>
        <v>0.0491055027301035</v>
      </c>
      <c r="BS34" s="18" t="n">
        <f aca="false">Algae_yield_cost_factor/AA34</f>
        <v>0.0488248942158823</v>
      </c>
      <c r="BT34" s="18" t="n">
        <f aca="false">Algae_yield_cost_factor/AB34</f>
        <v>0.0486530811220552</v>
      </c>
      <c r="BU34" s="18" t="n">
        <f aca="false">Algae_yield_cost_factor/AC34</f>
        <v>0.0485482699833256</v>
      </c>
    </row>
    <row r="35" customFormat="false" ht="15" hidden="false" customHeight="false" outlineLevel="0" collapsed="false">
      <c r="A35" s="18" t="s">
        <v>696</v>
      </c>
      <c r="B35" s="18" t="s">
        <v>22</v>
      </c>
      <c r="C35" s="18" t="s">
        <v>693</v>
      </c>
      <c r="D35" s="18" t="s">
        <v>693</v>
      </c>
      <c r="E35" s="185" t="n">
        <v>9.0255</v>
      </c>
      <c r="F35" s="18" t="n">
        <f aca="false">E35/$B$2*$F$3/1000</f>
        <v>0.022112475</v>
      </c>
      <c r="G35" s="18" t="n">
        <f aca="false">LOOKUP(RIGHT(D35,5),Ref!$C$4:$C$21,Ref!$E$4:$E$21)*$G$3</f>
        <v>3</v>
      </c>
      <c r="H35" s="222" t="n">
        <f aca="false">$E35</f>
        <v>9.0255</v>
      </c>
      <c r="I35" s="185" t="n">
        <f aca="false">$E35</f>
        <v>9.0255</v>
      </c>
      <c r="J35" s="185" t="n">
        <f aca="false">$E35</f>
        <v>9.0255</v>
      </c>
      <c r="K35" s="185" t="n">
        <f aca="false">$E35</f>
        <v>9.0255</v>
      </c>
      <c r="L35" s="185" t="n">
        <f aca="false">$E35</f>
        <v>9.0255</v>
      </c>
      <c r="M35" s="185" t="n">
        <f aca="false">M$3*$E35</f>
        <v>9.45354221836413</v>
      </c>
      <c r="N35" s="185" t="n">
        <f aca="false">N$3*$E35</f>
        <v>9.71015800378173</v>
      </c>
      <c r="O35" s="185" t="n">
        <f aca="false">O$3*$E35</f>
        <v>10.1013659727106</v>
      </c>
      <c r="P35" s="185" t="n">
        <f aca="false">P$3*$E35</f>
        <v>10.6719815651143</v>
      </c>
      <c r="Q35" s="185" t="n">
        <f aca="false">Q$3*$E35</f>
        <v>11.4528307985749</v>
      </c>
      <c r="R35" s="185" t="n">
        <f aca="false">R$3*$E35</f>
        <v>12.4329933062377</v>
      </c>
      <c r="S35" s="185" t="n">
        <f aca="false">S$3*$E35</f>
        <v>13.53825</v>
      </c>
      <c r="T35" s="185" t="n">
        <f aca="false">T$3*$E35</f>
        <v>14.6435066937623</v>
      </c>
      <c r="U35" s="185" t="n">
        <f aca="false">U$3*$E35</f>
        <v>15.6236692014251</v>
      </c>
      <c r="V35" s="185" t="n">
        <f aca="false">V$3*$E35</f>
        <v>16.4045184348857</v>
      </c>
      <c r="W35" s="185" t="n">
        <f aca="false">W$3*$E35</f>
        <v>16.9751340272894</v>
      </c>
      <c r="X35" s="185" t="n">
        <f aca="false">X$3*$E35</f>
        <v>17.3663419962183</v>
      </c>
      <c r="Y35" s="185" t="n">
        <f aca="false">Y$3*$E35</f>
        <v>17.6229577816359</v>
      </c>
      <c r="Z35" s="185" t="n">
        <f aca="false">Z$3*$E35</f>
        <v>17.7864424613536</v>
      </c>
      <c r="AA35" s="185" t="n">
        <f aca="false">AA$3*$E35</f>
        <v>17.8886654619871</v>
      </c>
      <c r="AB35" s="185" t="n">
        <f aca="false">AB$3*$E35</f>
        <v>17.9518373492876</v>
      </c>
      <c r="AC35" s="185" t="n">
        <f aca="false">AC$3*$E35</f>
        <v>17.9905936739829</v>
      </c>
      <c r="AD35" s="219" t="n">
        <f aca="false">Algae_electricity_factor/H35</f>
        <v>0.00152275188117326</v>
      </c>
      <c r="AE35" s="220" t="n">
        <f aca="false">Algae_electricity_factor/I35</f>
        <v>0.00152275188117326</v>
      </c>
      <c r="AF35" s="220" t="n">
        <f aca="false">Algae_electricity_factor/J35</f>
        <v>0.00152275188117326</v>
      </c>
      <c r="AG35" s="220" t="n">
        <f aca="false">Algae_electricity_factor/K35</f>
        <v>0.00152275188117326</v>
      </c>
      <c r="AH35" s="220" t="n">
        <f aca="false">Algae_electricity_factor/L35</f>
        <v>0.00152275188117326</v>
      </c>
      <c r="AI35" s="220" t="n">
        <f aca="false">Algae_electricity_factor/M35</f>
        <v>0.00145380395898919</v>
      </c>
      <c r="AJ35" s="220" t="n">
        <f aca="false">Algae_electricity_factor/N35</f>
        <v>0.0014153834673109</v>
      </c>
      <c r="AK35" s="220" t="n">
        <f aca="false">Algae_electricity_factor/O35</f>
        <v>0.00136056817866597</v>
      </c>
      <c r="AL35" s="220" t="n">
        <f aca="false">Algae_electricity_factor/P35</f>
        <v>0.00128782054388623</v>
      </c>
      <c r="AM35" s="220" t="n">
        <f aca="false">Algae_electricity_factor/Q35</f>
        <v>0.00120001747561305</v>
      </c>
      <c r="AN35" s="220" t="n">
        <f aca="false">Algae_electricity_factor/R35</f>
        <v>0.00110541337592726</v>
      </c>
      <c r="AO35" s="220" t="n">
        <f aca="false">Algae_electricity_factor/S35</f>
        <v>0.00101516792078217</v>
      </c>
      <c r="AP35" s="220" t="n">
        <f aca="false">Algae_electricity_factor/T35</f>
        <v>0.000938545485787471</v>
      </c>
      <c r="AQ35" s="220" t="n">
        <f aca="false">Algae_electricity_factor/U35</f>
        <v>0.00087966513668093</v>
      </c>
      <c r="AR35" s="220" t="n">
        <f aca="false">Algae_electricity_factor/V35</f>
        <v>0.000837793389551882</v>
      </c>
      <c r="AS35" s="220" t="n">
        <f aca="false">Algae_electricity_factor/W35</f>
        <v>0.000809631139373329</v>
      </c>
      <c r="AT35" s="220" t="n">
        <f aca="false">Algae_electricity_factor/X35</f>
        <v>0.000791392747334015</v>
      </c>
      <c r="AU35" s="220" t="n">
        <f aca="false">Algae_electricity_factor/Y35</f>
        <v>0.000779868922902991</v>
      </c>
      <c r="AV35" s="220" t="n">
        <f aca="false">Algae_electricity_factor/Z35</f>
        <v>0.00077270073166072</v>
      </c>
      <c r="AW35" s="220" t="n">
        <f aca="false">Algae_electricity_factor/AA35</f>
        <v>0.000768285210136775</v>
      </c>
      <c r="AX35" s="220" t="n">
        <f aca="false">Algae_electricity_factor/AB35</f>
        <v>0.00076558164137303</v>
      </c>
      <c r="AY35" s="220" t="n">
        <f aca="false">Algae_electricity_factor/AC35</f>
        <v>0.00076393238336568</v>
      </c>
      <c r="AZ35" s="211" t="n">
        <f aca="false">Algae_yield_cost_factor/H35</f>
        <v>0.0842992210166991</v>
      </c>
      <c r="BA35" s="18" t="n">
        <f aca="false">Algae_yield_cost_factor/I35</f>
        <v>0.0842992210166991</v>
      </c>
      <c r="BB35" s="18" t="n">
        <f aca="false">Algae_yield_cost_factor/J35</f>
        <v>0.0842992210166991</v>
      </c>
      <c r="BC35" s="18" t="n">
        <f aca="false">Algae_yield_cost_factor/K35</f>
        <v>0.0842992210166991</v>
      </c>
      <c r="BD35" s="18" t="n">
        <f aca="false">Algae_yield_cost_factor/L35</f>
        <v>0.0842992210166991</v>
      </c>
      <c r="BE35" s="18" t="n">
        <f aca="false">Algae_yield_cost_factor/M35</f>
        <v>0.0804822786752071</v>
      </c>
      <c r="BF35" s="18" t="n">
        <f aca="false">Algae_yield_cost_factor/N35</f>
        <v>0.0783553284086519</v>
      </c>
      <c r="BG35" s="18" t="n">
        <f aca="false">Algae_yield_cost_factor/O35</f>
        <v>0.0753207656609685</v>
      </c>
      <c r="BH35" s="18" t="n">
        <f aca="false">Algae_yield_cost_factor/P35</f>
        <v>0.0712934720364719</v>
      </c>
      <c r="BI35" s="18" t="n">
        <f aca="false">Algae_yield_cost_factor/Q35</f>
        <v>0.0664327128085129</v>
      </c>
      <c r="BJ35" s="18" t="n">
        <f aca="false">Algae_yield_cost_factor/R35</f>
        <v>0.0611954499247177</v>
      </c>
      <c r="BK35" s="18" t="n">
        <f aca="false">Algae_yield_cost_factor/S35</f>
        <v>0.0561994806777994</v>
      </c>
      <c r="BL35" s="18" t="n">
        <f aca="false">Algae_yield_cost_factor/T35</f>
        <v>0.0519576789356276</v>
      </c>
      <c r="BM35" s="18" t="n">
        <f aca="false">Algae_yield_cost_factor/U35</f>
        <v>0.0486980753033876</v>
      </c>
      <c r="BN35" s="18" t="n">
        <f aca="false">Algae_yield_cost_factor/V35</f>
        <v>0.0463800642674286</v>
      </c>
      <c r="BO35" s="18" t="n">
        <f aca="false">Algae_yield_cost_factor/W35</f>
        <v>0.0448210080735198</v>
      </c>
      <c r="BP35" s="18" t="n">
        <f aca="false">Algae_yield_cost_factor/X35</f>
        <v>0.0438113345603755</v>
      </c>
      <c r="BQ35" s="18" t="n">
        <f aca="false">Algae_yield_cost_factor/Y35</f>
        <v>0.0431733780852077</v>
      </c>
      <c r="BR35" s="18" t="n">
        <f aca="false">Algae_yield_cost_factor/Z35</f>
        <v>0.0427765485391121</v>
      </c>
      <c r="BS35" s="18" t="n">
        <f aca="false">Algae_yield_cost_factor/AA35</f>
        <v>0.0425321062045117</v>
      </c>
      <c r="BT35" s="18" t="n">
        <f aca="false">Algae_yield_cost_factor/AB35</f>
        <v>0.042382437211443</v>
      </c>
      <c r="BU35" s="18" t="n">
        <f aca="false">Algae_yield_cost_factor/AC35</f>
        <v>0.0422911346381255</v>
      </c>
    </row>
    <row r="36" customFormat="false" ht="15" hidden="false" customHeight="false" outlineLevel="0" collapsed="false">
      <c r="A36" s="18" t="s">
        <v>696</v>
      </c>
      <c r="B36" s="18" t="s">
        <v>22</v>
      </c>
      <c r="C36" s="18" t="s">
        <v>694</v>
      </c>
      <c r="D36" s="18" t="s">
        <v>694</v>
      </c>
      <c r="E36" s="185" t="n">
        <v>7.68075</v>
      </c>
      <c r="F36" s="18" t="n">
        <f aca="false">E36/$B$2*$F$3/1000</f>
        <v>0.0188178375</v>
      </c>
      <c r="G36" s="18" t="n">
        <f aca="false">LOOKUP(RIGHT(D36,5),Ref!$C$4:$C$21,Ref!$E$4:$E$21)*$G$3</f>
        <v>3</v>
      </c>
      <c r="H36" s="222" t="n">
        <f aca="false">$E36</f>
        <v>7.68075</v>
      </c>
      <c r="I36" s="185" t="n">
        <f aca="false">$E36</f>
        <v>7.68075</v>
      </c>
      <c r="J36" s="185" t="n">
        <f aca="false">$E36</f>
        <v>7.68075</v>
      </c>
      <c r="K36" s="185" t="n">
        <f aca="false">$E36</f>
        <v>7.68075</v>
      </c>
      <c r="L36" s="185" t="n">
        <f aca="false">$E36</f>
        <v>7.68075</v>
      </c>
      <c r="M36" s="185" t="n">
        <f aca="false">M$3*$E36</f>
        <v>8.0450162754086</v>
      </c>
      <c r="N36" s="185" t="n">
        <f aca="false">N$3*$E36</f>
        <v>8.26339771619817</v>
      </c>
      <c r="O36" s="185" t="n">
        <f aca="false">O$3*$E36</f>
        <v>8.59631784332138</v>
      </c>
      <c r="P36" s="185" t="n">
        <f aca="false">P$3*$E36</f>
        <v>9.08191484197567</v>
      </c>
      <c r="Q36" s="185" t="n">
        <f aca="false">Q$3*$E36</f>
        <v>9.74642182218759</v>
      </c>
      <c r="R36" s="185" t="n">
        <f aca="false">R$3*$E36</f>
        <v>10.5805454918714</v>
      </c>
      <c r="S36" s="185" t="n">
        <f aca="false">S$3*$E36</f>
        <v>11.521125</v>
      </c>
      <c r="T36" s="185" t="n">
        <f aca="false">T$3*$E36</f>
        <v>12.4617045081286</v>
      </c>
      <c r="U36" s="185" t="n">
        <f aca="false">U$3*$E36</f>
        <v>13.2958281778124</v>
      </c>
      <c r="V36" s="185" t="n">
        <f aca="false">V$3*$E36</f>
        <v>13.9603351580243</v>
      </c>
      <c r="W36" s="185" t="n">
        <f aca="false">W$3*$E36</f>
        <v>14.4459321566786</v>
      </c>
      <c r="X36" s="185" t="n">
        <f aca="false">X$3*$E36</f>
        <v>14.7788522838018</v>
      </c>
      <c r="Y36" s="185" t="n">
        <f aca="false">Y$3*$E36</f>
        <v>14.9972337245914</v>
      </c>
      <c r="Z36" s="185" t="n">
        <f aca="false">Z$3*$E36</f>
        <v>15.1363600836565</v>
      </c>
      <c r="AA36" s="185" t="n">
        <f aca="false">AA$3*$E36</f>
        <v>15.2233524178337</v>
      </c>
      <c r="AB36" s="185" t="n">
        <f aca="false">AB$3*$E36</f>
        <v>15.2771120403901</v>
      </c>
      <c r="AC36" s="185" t="n">
        <f aca="false">AC$3*$E36</f>
        <v>15.3100938852633</v>
      </c>
      <c r="AD36" s="219" t="n">
        <f aca="false">Algae_electricity_factor/H36</f>
        <v>0.0017893561310457</v>
      </c>
      <c r="AE36" s="220" t="n">
        <f aca="false">Algae_electricity_factor/I36</f>
        <v>0.0017893561310457</v>
      </c>
      <c r="AF36" s="220" t="n">
        <f aca="false">Algae_electricity_factor/J36</f>
        <v>0.0017893561310457</v>
      </c>
      <c r="AG36" s="220" t="n">
        <f aca="false">Algae_electricity_factor/K36</f>
        <v>0.0017893561310457</v>
      </c>
      <c r="AH36" s="220" t="n">
        <f aca="false">Algae_electricity_factor/L36</f>
        <v>0.0017893561310457</v>
      </c>
      <c r="AI36" s="220" t="n">
        <f aca="false">Algae_electricity_factor/M36</f>
        <v>0.00170833676813553</v>
      </c>
      <c r="AJ36" s="220" t="n">
        <f aca="false">Algae_electricity_factor/N36</f>
        <v>0.00166318959531485</v>
      </c>
      <c r="AK36" s="220" t="n">
        <f aca="false">Algae_electricity_factor/O36</f>
        <v>0.00159877721531747</v>
      </c>
      <c r="AL36" s="220" t="n">
        <f aca="false">Algae_electricity_factor/P36</f>
        <v>0.00151329288400809</v>
      </c>
      <c r="AM36" s="220" t="n">
        <f aca="false">Algae_electricity_factor/Q36</f>
        <v>0.00141011720550019</v>
      </c>
      <c r="AN36" s="220" t="n">
        <f aca="false">Algae_electricity_factor/R36</f>
        <v>0.00129894976720132</v>
      </c>
      <c r="AO36" s="220" t="n">
        <f aca="false">Algae_electricity_factor/S36</f>
        <v>0.0011929040873638</v>
      </c>
      <c r="AP36" s="220" t="n">
        <f aca="false">Algae_electricity_factor/T36</f>
        <v>0.00110286655365359</v>
      </c>
      <c r="AQ36" s="220" t="n">
        <f aca="false">Algae_electricity_factor/U36</f>
        <v>0.00103367740013849</v>
      </c>
      <c r="AR36" s="220" t="n">
        <f aca="false">Algae_electricity_factor/V36</f>
        <v>0.00098447472413508</v>
      </c>
      <c r="AS36" s="220" t="n">
        <f aca="false">Algae_electricity_factor/W36</f>
        <v>0.000951381811465544</v>
      </c>
      <c r="AT36" s="220" t="n">
        <f aca="false">Algae_electricity_factor/X36</f>
        <v>0.00092995023156113</v>
      </c>
      <c r="AU36" s="220" t="n">
        <f aca="false">Algae_electricity_factor/Y36</f>
        <v>0.000916408809512216</v>
      </c>
      <c r="AV36" s="220" t="n">
        <f aca="false">Algae_electricity_factor/Z36</f>
        <v>0.000907985607343532</v>
      </c>
      <c r="AW36" s="220" t="n">
        <f aca="false">Algae_electricity_factor/AA36</f>
        <v>0.000902797013844932</v>
      </c>
      <c r="AX36" s="220" t="n">
        <f aca="false">Algae_electricity_factor/AB36</f>
        <v>0.000899620102751982</v>
      </c>
      <c r="AY36" s="220" t="n">
        <f aca="false">Algae_electricity_factor/AC36</f>
        <v>0.000897682091731529</v>
      </c>
      <c r="AZ36" s="211" t="n">
        <f aca="false">Algae_yield_cost_factor/H36</f>
        <v>0.0990583757167227</v>
      </c>
      <c r="BA36" s="18" t="n">
        <f aca="false">Algae_yield_cost_factor/I36</f>
        <v>0.0990583757167227</v>
      </c>
      <c r="BB36" s="18" t="n">
        <f aca="false">Algae_yield_cost_factor/J36</f>
        <v>0.0990583757167227</v>
      </c>
      <c r="BC36" s="18" t="n">
        <f aca="false">Algae_yield_cost_factor/K36</f>
        <v>0.0990583757167227</v>
      </c>
      <c r="BD36" s="18" t="n">
        <f aca="false">Algae_yield_cost_factor/L36</f>
        <v>0.0990583757167227</v>
      </c>
      <c r="BE36" s="18" t="n">
        <f aca="false">Algae_yield_cost_factor/M36</f>
        <v>0.0945731609781704</v>
      </c>
      <c r="BF36" s="18" t="n">
        <f aca="false">Algae_yield_cost_factor/N36</f>
        <v>0.0920738230709616</v>
      </c>
      <c r="BG36" s="18" t="n">
        <f aca="false">Algae_yield_cost_factor/O36</f>
        <v>0.0885079673824914</v>
      </c>
      <c r="BH36" s="18" t="n">
        <f aca="false">Algae_yield_cost_factor/P36</f>
        <v>0.0837755729408166</v>
      </c>
      <c r="BI36" s="18" t="n">
        <f aca="false">Algae_yield_cost_factor/Q36</f>
        <v>0.078063789272302</v>
      </c>
      <c r="BJ36" s="18" t="n">
        <f aca="false">Algae_yield_cost_factor/R36</f>
        <v>0.0719095834775953</v>
      </c>
      <c r="BK36" s="18" t="n">
        <f aca="false">Algae_yield_cost_factor/S36</f>
        <v>0.0660389171444818</v>
      </c>
      <c r="BL36" s="18" t="n">
        <f aca="false">Algae_yield_cost_factor/T36</f>
        <v>0.061054458384078</v>
      </c>
      <c r="BM36" s="18" t="n">
        <f aca="false">Algae_yield_cost_factor/U36</f>
        <v>0.057224161527289</v>
      </c>
      <c r="BN36" s="18" t="n">
        <f aca="false">Algae_yield_cost_factor/V36</f>
        <v>0.0545003118244543</v>
      </c>
      <c r="BO36" s="18" t="n">
        <f aca="false">Algae_yield_cost_factor/W36</f>
        <v>0.0526682952013219</v>
      </c>
      <c r="BP36" s="18" t="n">
        <f aca="false">Algae_yield_cost_factor/X36</f>
        <v>0.051481847485554</v>
      </c>
      <c r="BQ36" s="18" t="n">
        <f aca="false">Algae_yield_cost_factor/Y36</f>
        <v>0.0507321972343901</v>
      </c>
      <c r="BR36" s="18" t="n">
        <f aca="false">Algae_yield_cost_factor/Z36</f>
        <v>0.0502658905497192</v>
      </c>
      <c r="BS36" s="18" t="n">
        <f aca="false">Algae_yield_cost_factor/AA36</f>
        <v>0.0499786511146464</v>
      </c>
      <c r="BT36" s="18" t="n">
        <f aca="false">Algae_yield_cost_factor/AB36</f>
        <v>0.0498027779906752</v>
      </c>
      <c r="BU36" s="18" t="n">
        <f aca="false">Algae_yield_cost_factor/AC36</f>
        <v>0.0496954901118252</v>
      </c>
    </row>
    <row r="37" customFormat="false" ht="15" hidden="false" customHeight="false" outlineLevel="0" collapsed="false">
      <c r="A37" s="18" t="s">
        <v>696</v>
      </c>
      <c r="B37" s="18" t="s">
        <v>22</v>
      </c>
      <c r="C37" s="18" t="s">
        <v>682</v>
      </c>
      <c r="D37" s="18" t="s">
        <v>682</v>
      </c>
      <c r="E37" s="185" t="n">
        <v>7.97775</v>
      </c>
      <c r="F37" s="18" t="n">
        <f aca="false">E37/$B$2*$F$3/1000</f>
        <v>0.0195454875</v>
      </c>
      <c r="G37" s="18" t="n">
        <f aca="false">LOOKUP(RIGHT(D37,5),Ref!$C$4:$C$21,Ref!$E$4:$E$21)*$G$3</f>
        <v>3</v>
      </c>
      <c r="H37" s="222" t="n">
        <f aca="false">$E37</f>
        <v>7.97775</v>
      </c>
      <c r="I37" s="185" t="n">
        <f aca="false">$E37</f>
        <v>7.97775</v>
      </c>
      <c r="J37" s="185" t="n">
        <f aca="false">$E37</f>
        <v>7.97775</v>
      </c>
      <c r="K37" s="185" t="n">
        <f aca="false">$E37</f>
        <v>7.97775</v>
      </c>
      <c r="L37" s="185" t="n">
        <f aca="false">$E37</f>
        <v>7.97775</v>
      </c>
      <c r="M37" s="185" t="n">
        <f aca="false">M$3*$E37</f>
        <v>8.35610175974233</v>
      </c>
      <c r="N37" s="185" t="n">
        <f aca="false">N$3*$E37</f>
        <v>8.58292759566447</v>
      </c>
      <c r="O37" s="185" t="n">
        <f aca="false">O$3*$E37</f>
        <v>8.92872111116195</v>
      </c>
      <c r="P37" s="185" t="n">
        <f aca="false">P$3*$E37</f>
        <v>9.43309522254616</v>
      </c>
      <c r="Q37" s="185" t="n">
        <f aca="false">Q$3*$E37</f>
        <v>10.1232974243345</v>
      </c>
      <c r="R37" s="185" t="n">
        <f aca="false">R$3*$E37</f>
        <v>10.9896750705044</v>
      </c>
      <c r="S37" s="185" t="n">
        <f aca="false">S$3*$E37</f>
        <v>11.966625</v>
      </c>
      <c r="T37" s="185" t="n">
        <f aca="false">T$3*$E37</f>
        <v>12.9435749294956</v>
      </c>
      <c r="U37" s="185" t="n">
        <f aca="false">U$3*$E37</f>
        <v>13.8099525756655</v>
      </c>
      <c r="V37" s="185" t="n">
        <f aca="false">V$3*$E37</f>
        <v>14.5001547774538</v>
      </c>
      <c r="W37" s="185" t="n">
        <f aca="false">W$3*$E37</f>
        <v>15.0045288888381</v>
      </c>
      <c r="X37" s="185" t="n">
        <f aca="false">X$3*$E37</f>
        <v>15.3503224043355</v>
      </c>
      <c r="Y37" s="185" t="n">
        <f aca="false">Y$3*$E37</f>
        <v>15.5771482402577</v>
      </c>
      <c r="Z37" s="185" t="n">
        <f aca="false">Z$3*$E37</f>
        <v>15.7216543511234</v>
      </c>
      <c r="AA37" s="185" t="n">
        <f aca="false">AA$3*$E37</f>
        <v>15.8120105134749</v>
      </c>
      <c r="AB37" s="185" t="n">
        <f aca="false">AB$3*$E37</f>
        <v>15.8678489184288</v>
      </c>
      <c r="AC37" s="185" t="n">
        <f aca="false">AC$3*$E37</f>
        <v>15.9021061085388</v>
      </c>
      <c r="AD37" s="219" t="n">
        <f aca="false">Algae_electricity_factor/H37</f>
        <v>0.00172274101137906</v>
      </c>
      <c r="AE37" s="220" t="n">
        <f aca="false">Algae_electricity_factor/I37</f>
        <v>0.00172274101137906</v>
      </c>
      <c r="AF37" s="220" t="n">
        <f aca="false">Algae_electricity_factor/J37</f>
        <v>0.00172274101137906</v>
      </c>
      <c r="AG37" s="220" t="n">
        <f aca="false">Algae_electricity_factor/K37</f>
        <v>0.00172274101137906</v>
      </c>
      <c r="AH37" s="220" t="n">
        <f aca="false">Algae_electricity_factor/L37</f>
        <v>0.00172274101137906</v>
      </c>
      <c r="AI37" s="220" t="n">
        <f aca="false">Algae_electricity_factor/M37</f>
        <v>0.00164473788121425</v>
      </c>
      <c r="AJ37" s="220" t="n">
        <f aca="false">Algae_electricity_factor/N37</f>
        <v>0.00160127147180778</v>
      </c>
      <c r="AK37" s="220" t="n">
        <f aca="false">Algae_electricity_factor/O37</f>
        <v>0.00153925707079686</v>
      </c>
      <c r="AL37" s="220" t="n">
        <f aca="false">Algae_electricity_factor/P37</f>
        <v>0.0014569551964959</v>
      </c>
      <c r="AM37" s="220" t="n">
        <f aca="false">Algae_electricity_factor/Q37</f>
        <v>0.00135762059805655</v>
      </c>
      <c r="AN37" s="220" t="n">
        <f aca="false">Algae_electricity_factor/R37</f>
        <v>0.00125059176139031</v>
      </c>
      <c r="AO37" s="220" t="n">
        <f aca="false">Algae_electricity_factor/S37</f>
        <v>0.00114849400758604</v>
      </c>
      <c r="AP37" s="220" t="n">
        <f aca="false">Algae_electricity_factor/T37</f>
        <v>0.00106180843997052</v>
      </c>
      <c r="AQ37" s="220" t="n">
        <f aca="false">Algae_electricity_factor/U37</f>
        <v>0.000995195097754848</v>
      </c>
      <c r="AR37" s="220" t="n">
        <f aca="false">Algae_electricity_factor/V37</f>
        <v>0.000947824165635739</v>
      </c>
      <c r="AS37" s="220" t="n">
        <f aca="false">Algae_electricity_factor/W37</f>
        <v>0.000915963253851522</v>
      </c>
      <c r="AT37" s="220" t="n">
        <f aca="false">Algae_electricity_factor/X37</f>
        <v>0.00089532954041718</v>
      </c>
      <c r="AU37" s="220" t="n">
        <f aca="false">Algae_electricity_factor/Y37</f>
        <v>0.000882292245766156</v>
      </c>
      <c r="AV37" s="220" t="n">
        <f aca="false">Algae_electricity_factor/Z37</f>
        <v>0.000874182627132191</v>
      </c>
      <c r="AW37" s="220" t="n">
        <f aca="false">Algae_electricity_factor/AA37</f>
        <v>0.000869187197403963</v>
      </c>
      <c r="AX37" s="220" t="n">
        <f aca="false">Algae_electricity_factor/AB37</f>
        <v>0.000866128558078692</v>
      </c>
      <c r="AY37" s="220" t="n">
        <f aca="false">Algae_electricity_factor/AC37</f>
        <v>0.000864262696382683</v>
      </c>
      <c r="AZ37" s="211" t="n">
        <f aca="false">Algae_yield_cost_factor/H37</f>
        <v>0.0953705768275789</v>
      </c>
      <c r="BA37" s="18" t="n">
        <f aca="false">Algae_yield_cost_factor/I37</f>
        <v>0.0953705768275789</v>
      </c>
      <c r="BB37" s="18" t="n">
        <f aca="false">Algae_yield_cost_factor/J37</f>
        <v>0.0953705768275789</v>
      </c>
      <c r="BC37" s="18" t="n">
        <f aca="false">Algae_yield_cost_factor/K37</f>
        <v>0.0953705768275789</v>
      </c>
      <c r="BD37" s="18" t="n">
        <f aca="false">Algae_yield_cost_factor/L37</f>
        <v>0.0953705768275789</v>
      </c>
      <c r="BE37" s="18" t="n">
        <f aca="false">Algae_yield_cost_factor/M37</f>
        <v>0.0910523400937711</v>
      </c>
      <c r="BF37" s="18" t="n">
        <f aca="false">Algae_yield_cost_factor/N37</f>
        <v>0.0886460488925183</v>
      </c>
      <c r="BG37" s="18" t="n">
        <f aca="false">Algae_yield_cost_factor/O37</f>
        <v>0.085212944811892</v>
      </c>
      <c r="BH37" s="18" t="n">
        <f aca="false">Algae_yield_cost_factor/P37</f>
        <v>0.0806567305148917</v>
      </c>
      <c r="BI37" s="18" t="n">
        <f aca="false">Algae_yield_cost_factor/Q37</f>
        <v>0.0751575882239019</v>
      </c>
      <c r="BJ37" s="18" t="n">
        <f aca="false">Algae_yield_cost_factor/R37</f>
        <v>0.0692324945373746</v>
      </c>
      <c r="BK37" s="18" t="n">
        <f aca="false">Algae_yield_cost_factor/S37</f>
        <v>0.0635803845517193</v>
      </c>
      <c r="BL37" s="18" t="n">
        <f aca="false">Algae_yield_cost_factor/T37</f>
        <v>0.0587814899230369</v>
      </c>
      <c r="BM37" s="18" t="n">
        <f aca="false">Algae_yield_cost_factor/U37</f>
        <v>0.0550937894332017</v>
      </c>
      <c r="BN37" s="18" t="n">
        <f aca="false">Algae_yield_cost_factor/V37</f>
        <v>0.0524713446831095</v>
      </c>
      <c r="BO37" s="18" t="n">
        <f aca="false">Algae_yield_cost_factor/W37</f>
        <v>0.0507075313675602</v>
      </c>
      <c r="BP37" s="18" t="n">
        <f aca="false">Algae_yield_cost_factor/X37</f>
        <v>0.0495652533702697</v>
      </c>
      <c r="BQ37" s="18" t="n">
        <f aca="false">Algae_yield_cost_factor/Y37</f>
        <v>0.0488435115048782</v>
      </c>
      <c r="BR37" s="18" t="n">
        <f aca="false">Algae_yield_cost_factor/Z37</f>
        <v>0.0483945647381475</v>
      </c>
      <c r="BS37" s="18" t="n">
        <f aca="false">Algae_yield_cost_factor/AA37</f>
        <v>0.0481180188084135</v>
      </c>
      <c r="BT37" s="18" t="n">
        <f aca="false">Algae_yield_cost_factor/AB37</f>
        <v>0.0479486931844039</v>
      </c>
      <c r="BU37" s="18" t="n">
        <f aca="false">Algae_yield_cost_factor/AC37</f>
        <v>0.0478453994768451</v>
      </c>
    </row>
    <row r="38" customFormat="false" ht="15" hidden="false" customHeight="false" outlineLevel="0" collapsed="false">
      <c r="A38" s="18" t="s">
        <v>696</v>
      </c>
      <c r="B38" s="18" t="s">
        <v>22</v>
      </c>
      <c r="C38" s="18" t="s">
        <v>683</v>
      </c>
      <c r="D38" s="18" t="s">
        <v>683</v>
      </c>
      <c r="E38" s="185" t="n">
        <v>8.95125</v>
      </c>
      <c r="F38" s="18" t="n">
        <f aca="false">E38/$B$2*$F$3/1000</f>
        <v>0.0219305625</v>
      </c>
      <c r="G38" s="18" t="n">
        <f aca="false">LOOKUP(RIGHT(D38,5),Ref!$C$4:$C$21,Ref!$E$4:$E$21)*$G$3</f>
        <v>3</v>
      </c>
      <c r="H38" s="222" t="n">
        <f aca="false">$E38</f>
        <v>8.95125</v>
      </c>
      <c r="I38" s="185" t="n">
        <f aca="false">$E38</f>
        <v>8.95125</v>
      </c>
      <c r="J38" s="185" t="n">
        <f aca="false">$E38</f>
        <v>8.95125</v>
      </c>
      <c r="K38" s="185" t="n">
        <f aca="false">$E38</f>
        <v>8.95125</v>
      </c>
      <c r="L38" s="185" t="n">
        <f aca="false">$E38</f>
        <v>8.95125</v>
      </c>
      <c r="M38" s="185" t="n">
        <f aca="false">M$3*$E38</f>
        <v>9.37577084728069</v>
      </c>
      <c r="N38" s="185" t="n">
        <f aca="false">N$3*$E38</f>
        <v>9.63027553391516</v>
      </c>
      <c r="O38" s="185" t="n">
        <f aca="false">O$3*$E38</f>
        <v>10.0182651557505</v>
      </c>
      <c r="P38" s="185" t="n">
        <f aca="false">P$3*$E38</f>
        <v>10.5841864699716</v>
      </c>
      <c r="Q38" s="185" t="n">
        <f aca="false">Q$3*$E38</f>
        <v>11.3586118980382</v>
      </c>
      <c r="R38" s="185" t="n">
        <f aca="false">R$3*$E38</f>
        <v>12.3307109115794</v>
      </c>
      <c r="S38" s="185" t="n">
        <f aca="false">S$3*$E38</f>
        <v>13.426875</v>
      </c>
      <c r="T38" s="185" t="n">
        <f aca="false">T$3*$E38</f>
        <v>14.5230390884206</v>
      </c>
      <c r="U38" s="185" t="n">
        <f aca="false">U$3*$E38</f>
        <v>15.4951381019618</v>
      </c>
      <c r="V38" s="185" t="n">
        <f aca="false">V$3*$E38</f>
        <v>16.2695635300284</v>
      </c>
      <c r="W38" s="185" t="n">
        <f aca="false">W$3*$E38</f>
        <v>16.8354848442495</v>
      </c>
      <c r="X38" s="185" t="n">
        <f aca="false">X$3*$E38</f>
        <v>17.2234744660848</v>
      </c>
      <c r="Y38" s="185" t="n">
        <f aca="false">Y$3*$E38</f>
        <v>17.4779791527193</v>
      </c>
      <c r="Z38" s="185" t="n">
        <f aca="false">Z$3*$E38</f>
        <v>17.6401188944869</v>
      </c>
      <c r="AA38" s="185" t="n">
        <f aca="false">AA$3*$E38</f>
        <v>17.7415009380768</v>
      </c>
      <c r="AB38" s="185" t="n">
        <f aca="false">AB$3*$E38</f>
        <v>17.8041531297779</v>
      </c>
      <c r="AC38" s="185" t="n">
        <f aca="false">AC$3*$E38</f>
        <v>17.842590618164</v>
      </c>
      <c r="AD38" s="219" t="n">
        <f aca="false">Algae_electricity_factor/H38</f>
        <v>0.00153538300276825</v>
      </c>
      <c r="AE38" s="220" t="n">
        <f aca="false">Algae_electricity_factor/I38</f>
        <v>0.00153538300276825</v>
      </c>
      <c r="AF38" s="220" t="n">
        <f aca="false">Algae_electricity_factor/J38</f>
        <v>0.00153538300276825</v>
      </c>
      <c r="AG38" s="220" t="n">
        <f aca="false">Algae_electricity_factor/K38</f>
        <v>0.00153538300276825</v>
      </c>
      <c r="AH38" s="220" t="n">
        <f aca="false">Algae_electricity_factor/L38</f>
        <v>0.00153538300276825</v>
      </c>
      <c r="AI38" s="220" t="n">
        <f aca="false">Algae_electricity_factor/M38</f>
        <v>0.00146586316233565</v>
      </c>
      <c r="AJ38" s="220" t="n">
        <f aca="false">Algae_electricity_factor/N38</f>
        <v>0.00142712397533468</v>
      </c>
      <c r="AK38" s="220" t="n">
        <f aca="false">Algae_electricity_factor/O38</f>
        <v>0.00137185399765951</v>
      </c>
      <c r="AL38" s="220" t="n">
        <f aca="false">Algae_electricity_factor/P38</f>
        <v>0.00129850292627791</v>
      </c>
      <c r="AM38" s="220" t="n">
        <f aca="false">Algae_electricity_factor/Q38</f>
        <v>0.00120997153762275</v>
      </c>
      <c r="AN38" s="220" t="n">
        <f aca="false">Algae_electricity_factor/R38</f>
        <v>0.00111458270346952</v>
      </c>
      <c r="AO38" s="220" t="n">
        <f aca="false">Algae_electricity_factor/S38</f>
        <v>0.00102358866851216</v>
      </c>
      <c r="AP38" s="220" t="n">
        <f aca="false">Algae_electricity_factor/T38</f>
        <v>0.000946330655715662</v>
      </c>
      <c r="AQ38" s="220" t="n">
        <f aca="false">Algae_electricity_factor/U38</f>
        <v>0.000886961898183353</v>
      </c>
      <c r="AR38" s="220" t="n">
        <f aca="false">Algae_electricity_factor/V38</f>
        <v>0.00084474282780623</v>
      </c>
      <c r="AS38" s="220" t="n">
        <f aca="false">Algae_electricity_factor/W38</f>
        <v>0.000816346973709144</v>
      </c>
      <c r="AT38" s="220" t="n">
        <f aca="false">Algae_electricity_factor/X38</f>
        <v>0.000797957295468583</v>
      </c>
      <c r="AU38" s="220" t="n">
        <f aca="false">Algae_electricity_factor/Y38</f>
        <v>0.000786337881710482</v>
      </c>
      <c r="AV38" s="220" t="n">
        <f aca="false">Algae_electricity_factor/Z38</f>
        <v>0.000779110230817353</v>
      </c>
      <c r="AW38" s="220" t="n">
        <f aca="false">Algae_electricity_factor/AA38</f>
        <v>0.000774658082847587</v>
      </c>
      <c r="AX38" s="220" t="n">
        <f aca="false">Algae_electricity_factor/AB38</f>
        <v>0.00077193208816783</v>
      </c>
      <c r="AY38" s="220" t="n">
        <f aca="false">Algae_electricity_factor/AC38</f>
        <v>0.000770269149679312</v>
      </c>
      <c r="AZ38" s="211" t="n">
        <f aca="false">Algae_yield_cost_factor/H38</f>
        <v>0.0849984772278975</v>
      </c>
      <c r="BA38" s="18" t="n">
        <f aca="false">Algae_yield_cost_factor/I38</f>
        <v>0.0849984772278975</v>
      </c>
      <c r="BB38" s="18" t="n">
        <f aca="false">Algae_yield_cost_factor/J38</f>
        <v>0.0849984772278975</v>
      </c>
      <c r="BC38" s="18" t="n">
        <f aca="false">Algae_yield_cost_factor/K38</f>
        <v>0.0849984772278975</v>
      </c>
      <c r="BD38" s="18" t="n">
        <f aca="false">Algae_yield_cost_factor/L38</f>
        <v>0.0849984772278975</v>
      </c>
      <c r="BE38" s="18" t="n">
        <f aca="false">Algae_yield_cost_factor/M38</f>
        <v>0.0811498736135268</v>
      </c>
      <c r="BF38" s="18" t="n">
        <f aca="false">Algae_yield_cost_factor/N38</f>
        <v>0.0790052804415348</v>
      </c>
      <c r="BG38" s="18" t="n">
        <f aca="false">Algae_yield_cost_factor/O38</f>
        <v>0.0759455462056217</v>
      </c>
      <c r="BH38" s="18" t="n">
        <f aca="false">Algae_yield_cost_factor/P38</f>
        <v>0.0718848464588943</v>
      </c>
      <c r="BI38" s="18" t="n">
        <f aca="false">Algae_yield_cost_factor/Q38</f>
        <v>0.0669837675691366</v>
      </c>
      <c r="BJ38" s="18" t="n">
        <f aca="false">Algae_yield_cost_factor/R38</f>
        <v>0.061703061951743</v>
      </c>
      <c r="BK38" s="18" t="n">
        <f aca="false">Algae_yield_cost_factor/S38</f>
        <v>0.056665651485265</v>
      </c>
      <c r="BL38" s="18" t="n">
        <f aca="false">Algae_yield_cost_factor/T38</f>
        <v>0.052388664290854</v>
      </c>
      <c r="BM38" s="18" t="n">
        <f aca="false">Algae_yield_cost_factor/U38</f>
        <v>0.0491020224718028</v>
      </c>
      <c r="BN38" s="18" t="n">
        <f aca="false">Algae_yield_cost_factor/V38</f>
        <v>0.0467647836945317</v>
      </c>
      <c r="BO38" s="18" t="n">
        <f aca="false">Algae_yield_cost_factor/W38</f>
        <v>0.0451927952372633</v>
      </c>
      <c r="BP38" s="18" t="n">
        <f aca="false">Algae_yield_cost_factor/X38</f>
        <v>0.0441747465521206</v>
      </c>
      <c r="BQ38" s="18" t="n">
        <f aca="false">Algae_yield_cost_factor/Y38</f>
        <v>0.0435314982720896</v>
      </c>
      <c r="BR38" s="18" t="n">
        <f aca="false">Algae_yield_cost_factor/Z38</f>
        <v>0.0431313770523397</v>
      </c>
      <c r="BS38" s="18" t="n">
        <f aca="false">Algae_yield_cost_factor/AA38</f>
        <v>0.0428849070854708</v>
      </c>
      <c r="BT38" s="18" t="n">
        <f aca="false">Algae_yield_cost_factor/AB38</f>
        <v>0.0427339965984503</v>
      </c>
      <c r="BU38" s="18" t="n">
        <f aca="false">Algae_yield_cost_factor/AC38</f>
        <v>0.0426419366765984</v>
      </c>
    </row>
    <row r="39" customFormat="false" ht="15" hidden="false" customHeight="false" outlineLevel="0" collapsed="false">
      <c r="A39" s="18" t="s">
        <v>696</v>
      </c>
      <c r="B39" s="18" t="s">
        <v>22</v>
      </c>
      <c r="C39" s="18" t="s">
        <v>684</v>
      </c>
      <c r="D39" s="18" t="s">
        <v>684</v>
      </c>
      <c r="E39" s="185" t="n">
        <v>8.085</v>
      </c>
      <c r="F39" s="18" t="n">
        <f aca="false">E39/$B$2*$F$3/1000</f>
        <v>0.01980825</v>
      </c>
      <c r="G39" s="18" t="n">
        <f aca="false">LOOKUP(RIGHT(D39,5),Ref!$C$4:$C$21,Ref!$E$4:$E$21)*$G$3</f>
        <v>3.5</v>
      </c>
      <c r="H39" s="222" t="n">
        <f aca="false">$E39</f>
        <v>8.085</v>
      </c>
      <c r="I39" s="185" t="n">
        <f aca="false">$E39</f>
        <v>8.085</v>
      </c>
      <c r="J39" s="185" t="n">
        <f aca="false">$E39</f>
        <v>8.085</v>
      </c>
      <c r="K39" s="185" t="n">
        <f aca="false">$E39</f>
        <v>8.085</v>
      </c>
      <c r="L39" s="185" t="n">
        <f aca="false">$E39</f>
        <v>8.085</v>
      </c>
      <c r="M39" s="185" t="n">
        <f aca="false">M$3*$E39</f>
        <v>8.46843818464063</v>
      </c>
      <c r="N39" s="185" t="n">
        <f aca="false">N$3*$E39</f>
        <v>8.69831338547175</v>
      </c>
      <c r="O39" s="185" t="n">
        <f aca="false">O$3*$E39</f>
        <v>9.04875562454882</v>
      </c>
      <c r="P39" s="185" t="n">
        <f aca="false">P$3*$E39</f>
        <v>9.55991035997439</v>
      </c>
      <c r="Q39" s="185" t="n">
        <f aca="false">Q$3*$E39</f>
        <v>10.2593913917764</v>
      </c>
      <c r="R39" s="185" t="n">
        <f aca="false">R$3*$E39</f>
        <v>11.137416307233</v>
      </c>
      <c r="S39" s="185" t="n">
        <f aca="false">S$3*$E39</f>
        <v>12.1275</v>
      </c>
      <c r="T39" s="185" t="n">
        <f aca="false">T$3*$E39</f>
        <v>13.117583692767</v>
      </c>
      <c r="U39" s="185" t="n">
        <f aca="false">U$3*$E39</f>
        <v>13.9956086082236</v>
      </c>
      <c r="V39" s="185" t="n">
        <f aca="false">V$3*$E39</f>
        <v>14.6950896400256</v>
      </c>
      <c r="W39" s="185" t="n">
        <f aca="false">W$3*$E39</f>
        <v>15.2062443754512</v>
      </c>
      <c r="X39" s="185" t="n">
        <f aca="false">X$3*$E39</f>
        <v>15.5566866145282</v>
      </c>
      <c r="Y39" s="185" t="n">
        <f aca="false">Y$3*$E39</f>
        <v>15.7865618153594</v>
      </c>
      <c r="Z39" s="185" t="n">
        <f aca="false">Z$3*$E39</f>
        <v>15.9330106143753</v>
      </c>
      <c r="AA39" s="185" t="n">
        <f aca="false">AA$3*$E39</f>
        <v>16.0245814924565</v>
      </c>
      <c r="AB39" s="185" t="n">
        <f aca="false">AB$3*$E39</f>
        <v>16.0811705688317</v>
      </c>
      <c r="AC39" s="185" t="n">
        <f aca="false">AC$3*$E39</f>
        <v>16.1158883002772</v>
      </c>
      <c r="AD39" s="219" t="n">
        <f aca="false">Algae_electricity_factor/H39</f>
        <v>0.00169988832449342</v>
      </c>
      <c r="AE39" s="220" t="n">
        <f aca="false">Algae_electricity_factor/I39</f>
        <v>0.00169988832449342</v>
      </c>
      <c r="AF39" s="220" t="n">
        <f aca="false">Algae_electricity_factor/J39</f>
        <v>0.00169988832449342</v>
      </c>
      <c r="AG39" s="220" t="n">
        <f aca="false">Algae_electricity_factor/K39</f>
        <v>0.00169988832449342</v>
      </c>
      <c r="AH39" s="220" t="n">
        <f aca="false">Algae_electricity_factor/L39</f>
        <v>0.00169988832449342</v>
      </c>
      <c r="AI39" s="220" t="n">
        <f aca="false">Algae_electricity_factor/M39</f>
        <v>0.00162291992972875</v>
      </c>
      <c r="AJ39" s="220" t="n">
        <f aca="false">Algae_electricity_factor/N39</f>
        <v>0.0015800301155491</v>
      </c>
      <c r="AK39" s="220" t="n">
        <f aca="false">Algae_electricity_factor/O39</f>
        <v>0.0015188383545516</v>
      </c>
      <c r="AL39" s="220" t="n">
        <f aca="false">Algae_electricity_factor/P39</f>
        <v>0.00143762823980769</v>
      </c>
      <c r="AM39" s="220" t="n">
        <f aca="false">Algae_electricity_factor/Q39</f>
        <v>0.00133961134522518</v>
      </c>
      <c r="AN39" s="220" t="n">
        <f aca="false">Algae_electricity_factor/R39</f>
        <v>0.00123400227884125</v>
      </c>
      <c r="AO39" s="220" t="n">
        <f aca="false">Algae_electricity_factor/S39</f>
        <v>0.00113325888299561</v>
      </c>
      <c r="AP39" s="220" t="n">
        <f aca="false">Algae_electricity_factor/T39</f>
        <v>0.00104772322597091</v>
      </c>
      <c r="AQ39" s="220" t="n">
        <f aca="false">Algae_electricity_factor/U39</f>
        <v>0.000981993530131569</v>
      </c>
      <c r="AR39" s="220" t="n">
        <f aca="false">Algae_electricity_factor/V39</f>
        <v>0.000935250987928326</v>
      </c>
      <c r="AS39" s="220" t="n">
        <f aca="false">Algae_electricity_factor/W39</f>
        <v>0.000903812720892267</v>
      </c>
      <c r="AT39" s="220" t="n">
        <f aca="false">Algae_electricity_factor/X39</f>
        <v>0.000883452719983074</v>
      </c>
      <c r="AU39" s="220" t="n">
        <f aca="false">Algae_electricity_factor/Y39</f>
        <v>0.000870588369036605</v>
      </c>
      <c r="AV39" s="220" t="n">
        <f aca="false">Algae_electricity_factor/Z39</f>
        <v>0.000862586326976355</v>
      </c>
      <c r="AW39" s="220" t="n">
        <f aca="false">Algae_electricity_factor/AA39</f>
        <v>0.000857657163152686</v>
      </c>
      <c r="AX39" s="220" t="n">
        <f aca="false">Algae_electricity_factor/AB39</f>
        <v>0.000854639097614383</v>
      </c>
      <c r="AY39" s="220" t="n">
        <f aca="false">Algae_electricity_factor/AC39</f>
        <v>0.000852797987144953</v>
      </c>
      <c r="AZ39" s="211" t="n">
        <f aca="false">Algae_yield_cost_factor/H39</f>
        <v>0.0941054569308866</v>
      </c>
      <c r="BA39" s="18" t="n">
        <f aca="false">Algae_yield_cost_factor/I39</f>
        <v>0.0941054569308866</v>
      </c>
      <c r="BB39" s="18" t="n">
        <f aca="false">Algae_yield_cost_factor/J39</f>
        <v>0.0941054569308866</v>
      </c>
      <c r="BC39" s="18" t="n">
        <f aca="false">Algae_yield_cost_factor/K39</f>
        <v>0.0941054569308866</v>
      </c>
      <c r="BD39" s="18" t="n">
        <f aca="false">Algae_yield_cost_factor/L39</f>
        <v>0.0941054569308866</v>
      </c>
      <c r="BE39" s="18" t="n">
        <f aca="false">Algae_yield_cost_factor/M39</f>
        <v>0.0898445029292619</v>
      </c>
      <c r="BF39" s="18" t="n">
        <f aca="false">Algae_yield_cost_factor/N39</f>
        <v>0.0874701319174135</v>
      </c>
      <c r="BG39" s="18" t="n">
        <f aca="false">Algae_yield_cost_factor/O39</f>
        <v>0.0840825690133669</v>
      </c>
      <c r="BH39" s="18" t="n">
        <f aca="false">Algae_yield_cost_factor/P39</f>
        <v>0.0795867942937758</v>
      </c>
      <c r="BI39" s="18" t="n">
        <f aca="false">Algae_yield_cost_factor/Q39</f>
        <v>0.0741605998086869</v>
      </c>
      <c r="BJ39" s="18" t="n">
        <f aca="false">Algae_yield_cost_factor/R39</f>
        <v>0.0683141043037155</v>
      </c>
      <c r="BK39" s="18" t="n">
        <f aca="false">Algae_yield_cost_factor/S39</f>
        <v>0.0627369712872577</v>
      </c>
      <c r="BL39" s="18" t="n">
        <f aca="false">Algae_yield_cost_factor/T39</f>
        <v>0.0580017354648741</v>
      </c>
      <c r="BM39" s="18" t="n">
        <f aca="false">Algae_yield_cost_factor/U39</f>
        <v>0.0543629534509245</v>
      </c>
      <c r="BN39" s="18" t="n">
        <f aca="false">Algae_yield_cost_factor/V39</f>
        <v>0.0517752962332316</v>
      </c>
      <c r="BO39" s="18" t="n">
        <f aca="false">Algae_yield_cost_factor/W39</f>
        <v>0.0500348804412558</v>
      </c>
      <c r="BP39" s="18" t="n">
        <f aca="false">Algae_yield_cost_factor/X39</f>
        <v>0.0489077551112763</v>
      </c>
      <c r="BQ39" s="18" t="n">
        <f aca="false">Algae_yield_cost_factor/Y39</f>
        <v>0.0481955873726706</v>
      </c>
      <c r="BR39" s="18" t="n">
        <f aca="false">Algae_yield_cost_factor/Z39</f>
        <v>0.0477525960222333</v>
      </c>
      <c r="BS39" s="18" t="n">
        <f aca="false">Algae_yield_cost_factor/AA39</f>
        <v>0.0474797185589141</v>
      </c>
      <c r="BT39" s="18" t="n">
        <f aca="false">Algae_yield_cost_factor/AB39</f>
        <v>0.0473126390911414</v>
      </c>
      <c r="BU39" s="18" t="n">
        <f aca="false">Algae_yield_cost_factor/AC39</f>
        <v>0.0472107156062339</v>
      </c>
    </row>
    <row r="40" customFormat="false" ht="15" hidden="false" customHeight="false" outlineLevel="0" collapsed="false">
      <c r="A40" s="18" t="s">
        <v>696</v>
      </c>
      <c r="B40" s="18" t="s">
        <v>22</v>
      </c>
      <c r="C40" s="18" t="s">
        <v>685</v>
      </c>
      <c r="D40" s="18" t="s">
        <v>685</v>
      </c>
      <c r="E40" s="185" t="n">
        <v>7.6725</v>
      </c>
      <c r="F40" s="18" t="n">
        <f aca="false">E40/$B$2*$F$3/1000</f>
        <v>0.018797625</v>
      </c>
      <c r="G40" s="18" t="n">
        <f aca="false">LOOKUP(RIGHT(D40,5),Ref!$C$4:$C$21,Ref!$E$4:$E$21)*$G$3</f>
        <v>4</v>
      </c>
      <c r="H40" s="222" t="n">
        <f aca="false">$E40</f>
        <v>7.6725</v>
      </c>
      <c r="I40" s="185" t="n">
        <f aca="false">$E40</f>
        <v>7.6725</v>
      </c>
      <c r="J40" s="185" t="n">
        <f aca="false">$E40</f>
        <v>7.6725</v>
      </c>
      <c r="K40" s="185" t="n">
        <f aca="false">$E40</f>
        <v>7.6725</v>
      </c>
      <c r="L40" s="185" t="n">
        <f aca="false">$E40</f>
        <v>7.6725</v>
      </c>
      <c r="M40" s="185" t="n">
        <f aca="false">M$3*$E40</f>
        <v>8.03637501195488</v>
      </c>
      <c r="N40" s="185" t="n">
        <f aca="false">N$3*$E40</f>
        <v>8.25452188621299</v>
      </c>
      <c r="O40" s="185" t="n">
        <f aca="false">O$3*$E40</f>
        <v>8.5870844192147</v>
      </c>
      <c r="P40" s="185" t="n">
        <f aca="false">P$3*$E40</f>
        <v>9.07215983140427</v>
      </c>
      <c r="Q40" s="185" t="n">
        <f aca="false">Q$3*$E40</f>
        <v>9.73595305546129</v>
      </c>
      <c r="R40" s="185" t="n">
        <f aca="false">R$3*$E40</f>
        <v>10.5691807813538</v>
      </c>
      <c r="S40" s="185" t="n">
        <f aca="false">S$3*$E40</f>
        <v>11.50875</v>
      </c>
      <c r="T40" s="185" t="n">
        <f aca="false">T$3*$E40</f>
        <v>12.4483192186462</v>
      </c>
      <c r="U40" s="185" t="n">
        <f aca="false">U$3*$E40</f>
        <v>13.2815469445387</v>
      </c>
      <c r="V40" s="185" t="n">
        <f aca="false">V$3*$E40</f>
        <v>13.9453401685957</v>
      </c>
      <c r="W40" s="185" t="n">
        <f aca="false">W$3*$E40</f>
        <v>14.4304155807853</v>
      </c>
      <c r="X40" s="185" t="n">
        <f aca="false">X$3*$E40</f>
        <v>14.762978113787</v>
      </c>
      <c r="Y40" s="185" t="n">
        <f aca="false">Y$3*$E40</f>
        <v>14.9811249880451</v>
      </c>
      <c r="Z40" s="185" t="n">
        <f aca="false">Z$3*$E40</f>
        <v>15.1201019095602</v>
      </c>
      <c r="AA40" s="185" t="n">
        <f aca="false">AA$3*$E40</f>
        <v>15.2070008040659</v>
      </c>
      <c r="AB40" s="185" t="n">
        <f aca="false">AB$3*$E40</f>
        <v>15.2607026826668</v>
      </c>
      <c r="AC40" s="185" t="n">
        <f aca="false">AC$3*$E40</f>
        <v>15.2936491012834</v>
      </c>
      <c r="AD40" s="219" t="n">
        <f aca="false">Algae_electricity_factor/H40</f>
        <v>0.00179128016989629</v>
      </c>
      <c r="AE40" s="220" t="n">
        <f aca="false">Algae_electricity_factor/I40</f>
        <v>0.00179128016989629</v>
      </c>
      <c r="AF40" s="220" t="n">
        <f aca="false">Algae_electricity_factor/J40</f>
        <v>0.00179128016989629</v>
      </c>
      <c r="AG40" s="220" t="n">
        <f aca="false">Algae_electricity_factor/K40</f>
        <v>0.00179128016989629</v>
      </c>
      <c r="AH40" s="220" t="n">
        <f aca="false">Algae_electricity_factor/L40</f>
        <v>0.00179128016989629</v>
      </c>
      <c r="AI40" s="220" t="n">
        <f aca="false">Algae_electricity_factor/M40</f>
        <v>0.00171017368939159</v>
      </c>
      <c r="AJ40" s="220" t="n">
        <f aca="false">Algae_electricity_factor/N40</f>
        <v>0.00166497797122379</v>
      </c>
      <c r="AK40" s="220" t="n">
        <f aca="false">Algae_electricity_factor/O40</f>
        <v>0.00160049633060276</v>
      </c>
      <c r="AL40" s="220" t="n">
        <f aca="false">Algae_electricity_factor/P40</f>
        <v>0.00151492008065756</v>
      </c>
      <c r="AM40" s="220" t="n">
        <f aca="false">Algae_electricity_factor/Q40</f>
        <v>0.00141163346055987</v>
      </c>
      <c r="AN40" s="220" t="n">
        <f aca="false">Algae_electricity_factor/R40</f>
        <v>0.0013003464873811</v>
      </c>
      <c r="AO40" s="220" t="n">
        <f aca="false">Algae_electricity_factor/S40</f>
        <v>0.00119418677993086</v>
      </c>
      <c r="AP40" s="220" t="n">
        <f aca="false">Algae_electricity_factor/T40</f>
        <v>0.00110405243166827</v>
      </c>
      <c r="AQ40" s="220" t="n">
        <f aca="false">Algae_electricity_factor/U40</f>
        <v>0.00103478888121391</v>
      </c>
      <c r="AR40" s="220" t="n">
        <f aca="false">Algae_electricity_factor/V40</f>
        <v>0.000985533299107268</v>
      </c>
      <c r="AS40" s="220" t="n">
        <f aca="false">Algae_electricity_factor/W40</f>
        <v>0.000952404802660668</v>
      </c>
      <c r="AT40" s="220" t="n">
        <f aca="false">Algae_electricity_factor/X40</f>
        <v>0.00093095017804668</v>
      </c>
      <c r="AU40" s="220" t="n">
        <f aca="false">Algae_electricity_factor/Y40</f>
        <v>0.000917394195328895</v>
      </c>
      <c r="AV40" s="220" t="n">
        <f aca="false">Algae_electricity_factor/Z40</f>
        <v>0.000908961935953579</v>
      </c>
      <c r="AW40" s="220" t="n">
        <f aca="false">Algae_electricity_factor/AA40</f>
        <v>0.000903767763322185</v>
      </c>
      <c r="AX40" s="220" t="n">
        <f aca="false">Algae_electricity_factor/AB40</f>
        <v>0.000900587436195801</v>
      </c>
      <c r="AY40" s="220" t="n">
        <f aca="false">Algae_electricity_factor/AC40</f>
        <v>0.000898647341292531</v>
      </c>
      <c r="AZ40" s="211" t="n">
        <f aca="false">Algae_yield_cost_factor/H40</f>
        <v>0.0991648900992138</v>
      </c>
      <c r="BA40" s="18" t="n">
        <f aca="false">Algae_yield_cost_factor/I40</f>
        <v>0.0991648900992138</v>
      </c>
      <c r="BB40" s="18" t="n">
        <f aca="false">Algae_yield_cost_factor/J40</f>
        <v>0.0991648900992138</v>
      </c>
      <c r="BC40" s="18" t="n">
        <f aca="false">Algae_yield_cost_factor/K40</f>
        <v>0.0991648900992138</v>
      </c>
      <c r="BD40" s="18" t="n">
        <f aca="false">Algae_yield_cost_factor/L40</f>
        <v>0.0991648900992138</v>
      </c>
      <c r="BE40" s="18" t="n">
        <f aca="false">Algae_yield_cost_factor/M40</f>
        <v>0.0946748525491146</v>
      </c>
      <c r="BF40" s="18" t="n">
        <f aca="false">Algae_yield_cost_factor/N40</f>
        <v>0.0921728271817905</v>
      </c>
      <c r="BG40" s="18" t="n">
        <f aca="false">Algae_yield_cost_factor/O40</f>
        <v>0.088603137239892</v>
      </c>
      <c r="BH40" s="18" t="n">
        <f aca="false">Algae_yield_cost_factor/P40</f>
        <v>0.0838656542020433</v>
      </c>
      <c r="BI40" s="18" t="n">
        <f aca="false">Algae_yield_cost_factor/Q40</f>
        <v>0.0781477288306593</v>
      </c>
      <c r="BJ40" s="18" t="n">
        <f aca="false">Algae_yield_cost_factor/R40</f>
        <v>0.0719869056103669</v>
      </c>
      <c r="BK40" s="18" t="n">
        <f aca="false">Algae_yield_cost_factor/S40</f>
        <v>0.0661099267328092</v>
      </c>
      <c r="BL40" s="18" t="n">
        <f aca="false">Algae_yield_cost_factor/T40</f>
        <v>0.0611201083393297</v>
      </c>
      <c r="BM40" s="18" t="n">
        <f aca="false">Algae_yield_cost_factor/U40</f>
        <v>0.0572856928837699</v>
      </c>
      <c r="BN40" s="18" t="n">
        <f aca="false">Algae_yield_cost_factor/V40</f>
        <v>0.054558914310287</v>
      </c>
      <c r="BO40" s="18" t="n">
        <f aca="false">Algae_yield_cost_factor/W40</f>
        <v>0.0527249277768072</v>
      </c>
      <c r="BP40" s="18" t="n">
        <f aca="false">Algae_yield_cost_factor/X40</f>
        <v>0.0515372043108073</v>
      </c>
      <c r="BQ40" s="18" t="n">
        <f aca="false">Algae_yield_cost_factor/Y40</f>
        <v>0.0507867479841045</v>
      </c>
      <c r="BR40" s="18" t="n">
        <f aca="false">Algae_yield_cost_factor/Z40</f>
        <v>0.0503199398943964</v>
      </c>
      <c r="BS40" s="18" t="n">
        <f aca="false">Algae_yield_cost_factor/AA40</f>
        <v>0.0500323915997159</v>
      </c>
      <c r="BT40" s="18" t="n">
        <f aca="false">Algae_yield_cost_factor/AB40</f>
        <v>0.0498563293648587</v>
      </c>
      <c r="BU40" s="18" t="n">
        <f aca="false">Algae_yield_cost_factor/AC40</f>
        <v>0.0497489261226981</v>
      </c>
    </row>
    <row r="41" customFormat="false" ht="15" hidden="false" customHeight="false" outlineLevel="0" collapsed="false">
      <c r="A41" s="18" t="s">
        <v>696</v>
      </c>
      <c r="B41" s="18" t="s">
        <v>22</v>
      </c>
      <c r="C41" s="18" t="s">
        <v>686</v>
      </c>
      <c r="D41" s="18" t="s">
        <v>686</v>
      </c>
      <c r="E41" s="185" t="n">
        <v>8.2005</v>
      </c>
      <c r="F41" s="18" t="n">
        <f aca="false">E41/$B$2*$F$3/1000</f>
        <v>0.020091225</v>
      </c>
      <c r="G41" s="18" t="n">
        <f aca="false">LOOKUP(RIGHT(D41,5),Ref!$C$4:$C$21,Ref!$E$4:$E$21)*$G$3</f>
        <v>4.5</v>
      </c>
      <c r="H41" s="222" t="n">
        <f aca="false">$E41</f>
        <v>8.2005</v>
      </c>
      <c r="I41" s="185" t="n">
        <f aca="false">$E41</f>
        <v>8.2005</v>
      </c>
      <c r="J41" s="185" t="n">
        <f aca="false">$E41</f>
        <v>8.2005</v>
      </c>
      <c r="K41" s="185" t="n">
        <f aca="false">$E41</f>
        <v>8.2005</v>
      </c>
      <c r="L41" s="185" t="n">
        <f aca="false">$E41</f>
        <v>8.2005</v>
      </c>
      <c r="M41" s="185" t="n">
        <f aca="false">M$3*$E41</f>
        <v>8.58941587299264</v>
      </c>
      <c r="N41" s="185" t="n">
        <f aca="false">N$3*$E41</f>
        <v>8.82257500526421</v>
      </c>
      <c r="O41" s="185" t="n">
        <f aca="false">O$3*$E41</f>
        <v>9.17802356204238</v>
      </c>
      <c r="P41" s="185" t="n">
        <f aca="false">P$3*$E41</f>
        <v>9.69648050797403</v>
      </c>
      <c r="Q41" s="185" t="n">
        <f aca="false">Q$3*$E41</f>
        <v>10.4059541259446</v>
      </c>
      <c r="R41" s="185" t="n">
        <f aca="false">R$3*$E41</f>
        <v>11.2965222544792</v>
      </c>
      <c r="S41" s="185" t="n">
        <f aca="false">S$3*$E41</f>
        <v>12.30075</v>
      </c>
      <c r="T41" s="185" t="n">
        <f aca="false">T$3*$E41</f>
        <v>13.3049777455208</v>
      </c>
      <c r="U41" s="185" t="n">
        <f aca="false">U$3*$E41</f>
        <v>14.1955458740554</v>
      </c>
      <c r="V41" s="185" t="n">
        <f aca="false">V$3*$E41</f>
        <v>14.905019492026</v>
      </c>
      <c r="W41" s="185" t="n">
        <f aca="false">W$3*$E41</f>
        <v>15.4234764379576</v>
      </c>
      <c r="X41" s="185" t="n">
        <f aca="false">X$3*$E41</f>
        <v>15.7789249947358</v>
      </c>
      <c r="Y41" s="185" t="n">
        <f aca="false">Y$3*$E41</f>
        <v>16.0120841270074</v>
      </c>
      <c r="Z41" s="185" t="n">
        <f aca="false">Z$3*$E41</f>
        <v>16.1606250517235</v>
      </c>
      <c r="AA41" s="185" t="n">
        <f aca="false">AA$3*$E41</f>
        <v>16.2535040852059</v>
      </c>
      <c r="AB41" s="185" t="n">
        <f aca="false">AB$3*$E41</f>
        <v>16.3109015769578</v>
      </c>
      <c r="AC41" s="185" t="n">
        <f aca="false">AC$3*$E41</f>
        <v>16.3461152759954</v>
      </c>
      <c r="AD41" s="219" t="n">
        <f aca="false">Algae_electricity_factor/H41</f>
        <v>0.00167594623541604</v>
      </c>
      <c r="AE41" s="220" t="n">
        <f aca="false">Algae_electricity_factor/I41</f>
        <v>0.00167594623541604</v>
      </c>
      <c r="AF41" s="220" t="n">
        <f aca="false">Algae_electricity_factor/J41</f>
        <v>0.00167594623541604</v>
      </c>
      <c r="AG41" s="220" t="n">
        <f aca="false">Algae_electricity_factor/K41</f>
        <v>0.00167594623541604</v>
      </c>
      <c r="AH41" s="220" t="n">
        <f aca="false">Algae_electricity_factor/L41</f>
        <v>0.00167594623541604</v>
      </c>
      <c r="AI41" s="220" t="n">
        <f aca="false">Algae_electricity_factor/M41</f>
        <v>0.00160006190254948</v>
      </c>
      <c r="AJ41" s="220" t="n">
        <f aca="false">Algae_electricity_factor/N41</f>
        <v>0.00155777617025968</v>
      </c>
      <c r="AK41" s="220" t="n">
        <f aca="false">Algae_electricity_factor/O41</f>
        <v>0.00149744626505087</v>
      </c>
      <c r="AL41" s="220" t="n">
        <f aca="false">Algae_electricity_factor/P41</f>
        <v>0.00141737995473997</v>
      </c>
      <c r="AM41" s="220" t="n">
        <f aca="false">Algae_electricity_factor/Q41</f>
        <v>0.00132074357979948</v>
      </c>
      <c r="AN41" s="220" t="n">
        <f aca="false">Algae_electricity_factor/R41</f>
        <v>0.00121662196505476</v>
      </c>
      <c r="AO41" s="220" t="n">
        <f aca="false">Algae_electricity_factor/S41</f>
        <v>0.00111729749027736</v>
      </c>
      <c r="AP41" s="220" t="n">
        <f aca="false">Algae_electricity_factor/T41</f>
        <v>0.00103296656081639</v>
      </c>
      <c r="AQ41" s="220" t="n">
        <f aca="false">Algae_electricity_factor/U41</f>
        <v>0.000968162635340984</v>
      </c>
      <c r="AR41" s="220" t="n">
        <f aca="false">Algae_electricity_factor/V41</f>
        <v>0.000922078438802575</v>
      </c>
      <c r="AS41" s="220" t="n">
        <f aca="false">Algae_electricity_factor/W41</f>
        <v>0.000891082964259982</v>
      </c>
      <c r="AT41" s="220" t="n">
        <f aca="false">Algae_electricity_factor/X41</f>
        <v>0.000871009723926974</v>
      </c>
      <c r="AU41" s="220" t="n">
        <f aca="false">Algae_electricity_factor/Y41</f>
        <v>0.000858326561022005</v>
      </c>
      <c r="AV41" s="220" t="n">
        <f aca="false">Algae_electricity_factor/Z41</f>
        <v>0.000850437223779505</v>
      </c>
      <c r="AW41" s="220" t="n">
        <f aca="false">Algae_electricity_factor/AA41</f>
        <v>0.000845577484798422</v>
      </c>
      <c r="AX41" s="220" t="n">
        <f aca="false">Algae_electricity_factor/AB41</f>
        <v>0.000842601927225448</v>
      </c>
      <c r="AY41" s="220" t="n">
        <f aca="false">Algae_electricity_factor/AC41</f>
        <v>0.00084078674788939</v>
      </c>
      <c r="AZ41" s="211" t="n">
        <f aca="false">Algae_yield_cost_factor/H41</f>
        <v>0.092780027960029</v>
      </c>
      <c r="BA41" s="18" t="n">
        <f aca="false">Algae_yield_cost_factor/I41</f>
        <v>0.092780027960029</v>
      </c>
      <c r="BB41" s="18" t="n">
        <f aca="false">Algae_yield_cost_factor/J41</f>
        <v>0.092780027960029</v>
      </c>
      <c r="BC41" s="18" t="n">
        <f aca="false">Algae_yield_cost_factor/K41</f>
        <v>0.092780027960029</v>
      </c>
      <c r="BD41" s="18" t="n">
        <f aca="false">Algae_yield_cost_factor/L41</f>
        <v>0.092780027960029</v>
      </c>
      <c r="BE41" s="18" t="n">
        <f aca="false">Algae_yield_cost_factor/M41</f>
        <v>0.0885790873950469</v>
      </c>
      <c r="BF41" s="18" t="n">
        <f aca="false">Algae_yield_cost_factor/N41</f>
        <v>0.0862381582284358</v>
      </c>
      <c r="BG41" s="18" t="n">
        <f aca="false">Algae_yield_cost_factor/O41</f>
        <v>0.0828983074779673</v>
      </c>
      <c r="BH41" s="18" t="n">
        <f aca="false">Algae_yield_cost_factor/P41</f>
        <v>0.0784658535290747</v>
      </c>
      <c r="BI41" s="18" t="n">
        <f aca="false">Algae_yield_cost_factor/Q41</f>
        <v>0.0731160843184237</v>
      </c>
      <c r="BJ41" s="18" t="n">
        <f aca="false">Algae_yield_cost_factor/R41</f>
        <v>0.0673519338205646</v>
      </c>
      <c r="BK41" s="18" t="n">
        <f aca="false">Algae_yield_cost_factor/S41</f>
        <v>0.0618533519733527</v>
      </c>
      <c r="BL41" s="18" t="n">
        <f aca="false">Algae_yield_cost_factor/T41</f>
        <v>0.0571848096132562</v>
      </c>
      <c r="BM41" s="18" t="n">
        <f aca="false">Algae_yield_cost_factor/U41</f>
        <v>0.0535972780502073</v>
      </c>
      <c r="BN41" s="18" t="n">
        <f aca="false">Algae_yield_cost_factor/V41</f>
        <v>0.0510460667088198</v>
      </c>
      <c r="BO41" s="18" t="n">
        <f aca="false">Algae_yield_cost_factor/W41</f>
        <v>0.0493301638153226</v>
      </c>
      <c r="BP41" s="18" t="n">
        <f aca="false">Algae_yield_cost_factor/X41</f>
        <v>0.0482189134899907</v>
      </c>
      <c r="BQ41" s="18" t="n">
        <f aca="false">Algae_yield_cost_factor/Y41</f>
        <v>0.0475167762829147</v>
      </c>
      <c r="BR41" s="18" t="n">
        <f aca="false">Algae_yield_cost_factor/Z41</f>
        <v>0.0470800242472722</v>
      </c>
      <c r="BS41" s="18" t="n">
        <f aca="false">Algae_yield_cost_factor/AA41</f>
        <v>0.0468109901285069</v>
      </c>
      <c r="BT41" s="18" t="n">
        <f aca="false">Algae_yield_cost_factor/AB41</f>
        <v>0.0466462638926747</v>
      </c>
      <c r="BU41" s="18" t="n">
        <f aca="false">Algae_yield_cost_factor/AC41</f>
        <v>0.0465457759498081</v>
      </c>
    </row>
    <row r="42" customFormat="false" ht="15" hidden="false" customHeight="false" outlineLevel="0" collapsed="false">
      <c r="A42" s="18" t="s">
        <v>696</v>
      </c>
      <c r="B42" s="18" t="s">
        <v>22</v>
      </c>
      <c r="C42" s="18" t="s">
        <v>687</v>
      </c>
      <c r="D42" s="18" t="s">
        <v>687</v>
      </c>
      <c r="E42" s="185" t="n">
        <v>7.59825</v>
      </c>
      <c r="F42" s="18" t="n">
        <f aca="false">E42/$B$2*$F$3/1000</f>
        <v>0.0186157125</v>
      </c>
      <c r="G42" s="18" t="n">
        <f aca="false">LOOKUP(RIGHT(D42,5),Ref!$C$4:$C$21,Ref!$E$4:$E$21)*$G$3</f>
        <v>4.5</v>
      </c>
      <c r="H42" s="222" t="n">
        <f aca="false">$E42</f>
        <v>7.59825</v>
      </c>
      <c r="I42" s="185" t="n">
        <f aca="false">$E42</f>
        <v>7.59825</v>
      </c>
      <c r="J42" s="185" t="n">
        <f aca="false">$E42</f>
        <v>7.59825</v>
      </c>
      <c r="K42" s="185" t="n">
        <f aca="false">$E42</f>
        <v>7.59825</v>
      </c>
      <c r="L42" s="185" t="n">
        <f aca="false">$E42</f>
        <v>7.59825</v>
      </c>
      <c r="M42" s="185" t="n">
        <f aca="false">M$3*$E42</f>
        <v>7.95860364087145</v>
      </c>
      <c r="N42" s="185" t="n">
        <f aca="false">N$3*$E42</f>
        <v>8.17463941634641</v>
      </c>
      <c r="O42" s="185" t="n">
        <f aca="false">O$3*$E42</f>
        <v>8.50398360225456</v>
      </c>
      <c r="P42" s="185" t="n">
        <f aca="false">P$3*$E42</f>
        <v>8.98436473626165</v>
      </c>
      <c r="Q42" s="185" t="n">
        <f aca="false">Q$3*$E42</f>
        <v>9.64173415492457</v>
      </c>
      <c r="R42" s="185" t="n">
        <f aca="false">R$3*$E42</f>
        <v>10.4668983866955</v>
      </c>
      <c r="S42" s="185" t="n">
        <f aca="false">S$3*$E42</f>
        <v>11.397375</v>
      </c>
      <c r="T42" s="185" t="n">
        <f aca="false">T$3*$E42</f>
        <v>12.3278516133045</v>
      </c>
      <c r="U42" s="185" t="n">
        <f aca="false">U$3*$E42</f>
        <v>13.1530158450754</v>
      </c>
      <c r="V42" s="185" t="n">
        <f aca="false">V$3*$E42</f>
        <v>13.8103852637384</v>
      </c>
      <c r="W42" s="185" t="n">
        <f aca="false">W$3*$E42</f>
        <v>14.2907663977454</v>
      </c>
      <c r="X42" s="185" t="n">
        <f aca="false">X$3*$E42</f>
        <v>14.6201105836536</v>
      </c>
      <c r="Y42" s="185" t="n">
        <f aca="false">Y$3*$E42</f>
        <v>14.8361463591286</v>
      </c>
      <c r="Z42" s="185" t="n">
        <f aca="false">Z$3*$E42</f>
        <v>14.9737783426935</v>
      </c>
      <c r="AA42" s="185" t="n">
        <f aca="false">AA$3*$E42</f>
        <v>15.0598362801555</v>
      </c>
      <c r="AB42" s="185" t="n">
        <f aca="false">AB$3*$E42</f>
        <v>15.1130184631571</v>
      </c>
      <c r="AC42" s="185" t="n">
        <f aca="false">AC$3*$E42</f>
        <v>15.1456460454646</v>
      </c>
      <c r="AD42" s="219" t="n">
        <f aca="false">Algae_electricity_factor/H42</f>
        <v>0.00180878453637736</v>
      </c>
      <c r="AE42" s="220" t="n">
        <f aca="false">Algae_electricity_factor/I42</f>
        <v>0.00180878453637736</v>
      </c>
      <c r="AF42" s="220" t="n">
        <f aca="false">Algae_electricity_factor/J42</f>
        <v>0.00180878453637736</v>
      </c>
      <c r="AG42" s="220" t="n">
        <f aca="false">Algae_electricity_factor/K42</f>
        <v>0.00180878453637736</v>
      </c>
      <c r="AH42" s="220" t="n">
        <f aca="false">Algae_electricity_factor/L42</f>
        <v>0.00180878453637736</v>
      </c>
      <c r="AI42" s="220" t="n">
        <f aca="false">Algae_electricity_factor/M42</f>
        <v>0.00172688548440193</v>
      </c>
      <c r="AJ42" s="220" t="n">
        <f aca="false">Algae_electricity_factor/N42</f>
        <v>0.00168124811426506</v>
      </c>
      <c r="AK42" s="220" t="n">
        <f aca="false">Algae_electricity_factor/O42</f>
        <v>0.00161613635989204</v>
      </c>
      <c r="AL42" s="220" t="n">
        <f aca="false">Algae_electricity_factor/P42</f>
        <v>0.00152972385994738</v>
      </c>
      <c r="AM42" s="220" t="n">
        <f aca="false">Algae_electricity_factor/Q42</f>
        <v>0.00142542792434384</v>
      </c>
      <c r="AN42" s="220" t="n">
        <f aca="false">Algae_electricity_factor/R42</f>
        <v>0.00131305345631317</v>
      </c>
      <c r="AO42" s="220" t="n">
        <f aca="false">Algae_electricity_factor/S42</f>
        <v>0.00120585635758491</v>
      </c>
      <c r="AP42" s="220" t="n">
        <f aca="false">Algae_electricity_factor/T42</f>
        <v>0.00111484121764549</v>
      </c>
      <c r="AQ42" s="220" t="n">
        <f aca="false">Algae_electricity_factor/U42</f>
        <v>0.00104490082467854</v>
      </c>
      <c r="AR42" s="220" t="n">
        <f aca="false">Algae_electricity_factor/V42</f>
        <v>0.00099516391766532</v>
      </c>
      <c r="AS42" s="220" t="n">
        <f aca="false">Algae_electricity_factor/W42</f>
        <v>0.000961711689983085</v>
      </c>
      <c r="AT42" s="220" t="n">
        <f aca="false">Algae_electricity_factor/X42</f>
        <v>0.000940047411056908</v>
      </c>
      <c r="AU42" s="220" t="n">
        <f aca="false">Algae_electricity_factor/Y42</f>
        <v>0.000926358959452631</v>
      </c>
      <c r="AV42" s="220" t="n">
        <f aca="false">Algae_electricity_factor/Z42</f>
        <v>0.000917844300148565</v>
      </c>
      <c r="AW42" s="220" t="n">
        <f aca="false">Algae_electricity_factor/AA42</f>
        <v>0.000912599370129893</v>
      </c>
      <c r="AX42" s="220" t="n">
        <f aca="false">Algae_electricity_factor/AB42</f>
        <v>0.000909387964888268</v>
      </c>
      <c r="AY42" s="220" t="n">
        <f aca="false">Algae_electricity_factor/AC42</f>
        <v>0.000907428911402882</v>
      </c>
      <c r="AZ42" s="211" t="n">
        <f aca="false">Algae_yield_cost_factor/H42</f>
        <v>0.100133928113213</v>
      </c>
      <c r="BA42" s="18" t="n">
        <f aca="false">Algae_yield_cost_factor/I42</f>
        <v>0.100133928113213</v>
      </c>
      <c r="BB42" s="18" t="n">
        <f aca="false">Algae_yield_cost_factor/J42</f>
        <v>0.100133928113213</v>
      </c>
      <c r="BC42" s="18" t="n">
        <f aca="false">Algae_yield_cost_factor/K42</f>
        <v>0.100133928113213</v>
      </c>
      <c r="BD42" s="18" t="n">
        <f aca="false">Algae_yield_cost_factor/L42</f>
        <v>0.100133928113213</v>
      </c>
      <c r="BE42" s="18" t="n">
        <f aca="false">Algae_yield_cost_factor/M42</f>
        <v>0.095600013974676</v>
      </c>
      <c r="BF42" s="18" t="n">
        <f aca="false">Algae_yield_cost_factor/N42</f>
        <v>0.0930735388480621</v>
      </c>
      <c r="BG42" s="18" t="n">
        <f aca="false">Algae_yield_cost_factor/O42</f>
        <v>0.0894689659425619</v>
      </c>
      <c r="BH42" s="18" t="n">
        <f aca="false">Algae_yield_cost_factor/P42</f>
        <v>0.0846851882821936</v>
      </c>
      <c r="BI42" s="18" t="n">
        <f aca="false">Algae_yield_cost_factor/Q42</f>
        <v>0.0789113874185811</v>
      </c>
      <c r="BJ42" s="18" t="n">
        <f aca="false">Algae_yield_cost_factor/R42</f>
        <v>0.0726903607140513</v>
      </c>
      <c r="BK42" s="18" t="n">
        <f aca="false">Algae_yield_cost_factor/S42</f>
        <v>0.0667559520754751</v>
      </c>
      <c r="BL42" s="18" t="n">
        <f aca="false">Algae_yield_cost_factor/T42</f>
        <v>0.0617173732416685</v>
      </c>
      <c r="BM42" s="18" t="n">
        <f aca="false">Algae_yield_cost_factor/U42</f>
        <v>0.0578454879282368</v>
      </c>
      <c r="BN42" s="18" t="n">
        <f aca="false">Algae_yield_cost_factor/V42</f>
        <v>0.0550920633100618</v>
      </c>
      <c r="BO42" s="18" t="n">
        <f aca="false">Algae_yield_cost_factor/W42</f>
        <v>0.0532401550840724</v>
      </c>
      <c r="BP42" s="18" t="n">
        <f aca="false">Algae_yield_cost_factor/X42</f>
        <v>0.052040825199838</v>
      </c>
      <c r="BQ42" s="18" t="n">
        <f aca="false">Algae_yield_cost_factor/Y42</f>
        <v>0.0512830354236886</v>
      </c>
      <c r="BR42" s="18" t="n">
        <f aca="false">Algae_yield_cost_factor/Z42</f>
        <v>0.05081166569141</v>
      </c>
      <c r="BS42" s="18" t="n">
        <f aca="false">Algae_yield_cost_factor/AA42</f>
        <v>0.0505213074785405</v>
      </c>
      <c r="BT42" s="18" t="n">
        <f aca="false">Algae_yield_cost_factor/AB42</f>
        <v>0.0503435247658183</v>
      </c>
      <c r="BU42" s="18" t="n">
        <f aca="false">Algae_yield_cost_factor/AC42</f>
        <v>0.0502350719805747</v>
      </c>
    </row>
    <row r="43" customFormat="false" ht="15" hidden="false" customHeight="false" outlineLevel="0" collapsed="false">
      <c r="A43" s="18" t="s">
        <v>697</v>
      </c>
      <c r="B43" s="18" t="s">
        <v>22</v>
      </c>
      <c r="C43" s="18" t="s">
        <v>690</v>
      </c>
      <c r="D43" s="18" t="s">
        <v>690</v>
      </c>
      <c r="E43" s="185" t="n">
        <v>8.5305</v>
      </c>
      <c r="F43" s="18" t="n">
        <f aca="false">E43/$B$2*$F$3/1000</f>
        <v>0.020899725</v>
      </c>
      <c r="G43" s="18" t="n">
        <f aca="false">LOOKUP(RIGHT(D43,5),Ref!$C$4:$C$21,Ref!$E$4:$E$21)*$G$3</f>
        <v>1.5</v>
      </c>
      <c r="H43" s="222" t="n">
        <f aca="false">$E43</f>
        <v>8.5305</v>
      </c>
      <c r="I43" s="185" t="n">
        <f aca="false">$E43</f>
        <v>8.5305</v>
      </c>
      <c r="J43" s="185" t="n">
        <f aca="false">$E43</f>
        <v>8.5305</v>
      </c>
      <c r="K43" s="185" t="n">
        <f aca="false">$E43</f>
        <v>8.5305</v>
      </c>
      <c r="L43" s="185" t="n">
        <f aca="false">$E43</f>
        <v>8.5305</v>
      </c>
      <c r="M43" s="185" t="n">
        <f aca="false">M$3*$E43</f>
        <v>8.93506641114123</v>
      </c>
      <c r="N43" s="185" t="n">
        <f aca="false">N$3*$E43</f>
        <v>9.17760820467122</v>
      </c>
      <c r="O43" s="185" t="n">
        <f aca="false">O$3*$E43</f>
        <v>9.54736052630967</v>
      </c>
      <c r="P43" s="185" t="n">
        <f aca="false">P$3*$E43</f>
        <v>10.0866809308301</v>
      </c>
      <c r="Q43" s="185" t="n">
        <f aca="false">Q$3*$E43</f>
        <v>10.8247047949967</v>
      </c>
      <c r="R43" s="185" t="n">
        <f aca="false">R$3*$E43</f>
        <v>11.7511106751826</v>
      </c>
      <c r="S43" s="185" t="n">
        <f aca="false">S$3*$E43</f>
        <v>12.79575</v>
      </c>
      <c r="T43" s="185" t="n">
        <f aca="false">T$3*$E43</f>
        <v>13.8403893248174</v>
      </c>
      <c r="U43" s="185" t="n">
        <f aca="false">U$3*$E43</f>
        <v>14.7667952050033</v>
      </c>
      <c r="V43" s="185" t="n">
        <f aca="false">V$3*$E43</f>
        <v>15.5048190691699</v>
      </c>
      <c r="W43" s="185" t="n">
        <f aca="false">W$3*$E43</f>
        <v>16.0441394736903</v>
      </c>
      <c r="X43" s="185" t="n">
        <f aca="false">X$3*$E43</f>
        <v>16.4138917953288</v>
      </c>
      <c r="Y43" s="185" t="n">
        <f aca="false">Y$3*$E43</f>
        <v>16.6564335888588</v>
      </c>
      <c r="Z43" s="185" t="n">
        <f aca="false">Z$3*$E43</f>
        <v>16.8109520155756</v>
      </c>
      <c r="AA43" s="185" t="n">
        <f aca="false">AA$3*$E43</f>
        <v>16.9075686359184</v>
      </c>
      <c r="AB43" s="185" t="n">
        <f aca="false">AB$3*$E43</f>
        <v>16.9672758858897</v>
      </c>
      <c r="AC43" s="185" t="n">
        <f aca="false">AC$3*$E43</f>
        <v>17.0039066351904</v>
      </c>
      <c r="AD43" s="219" t="n">
        <f aca="false">Algae_electricity_factor/H43</f>
        <v>0.00161111272534192</v>
      </c>
      <c r="AE43" s="220" t="n">
        <f aca="false">Algae_electricity_factor/I43</f>
        <v>0.00161111272534192</v>
      </c>
      <c r="AF43" s="220" t="n">
        <f aca="false">Algae_electricity_factor/J43</f>
        <v>0.00161111272534192</v>
      </c>
      <c r="AG43" s="220" t="n">
        <f aca="false">Algae_electricity_factor/K43</f>
        <v>0.00161111272534192</v>
      </c>
      <c r="AH43" s="220" t="n">
        <f aca="false">Algae_electricity_factor/L43</f>
        <v>0.00161111272534192</v>
      </c>
      <c r="AI43" s="220" t="n">
        <f aca="false">Algae_electricity_factor/M43</f>
        <v>0.00153816395660946</v>
      </c>
      <c r="AJ43" s="220" t="n">
        <f aca="false">Algae_electricity_factor/N43</f>
        <v>0.00149751403601366</v>
      </c>
      <c r="AK43" s="220" t="n">
        <f aca="false">Algae_electricity_factor/O43</f>
        <v>0.00143951797626747</v>
      </c>
      <c r="AL43" s="220" t="n">
        <f aca="false">Algae_electricity_factor/P43</f>
        <v>0.00136254900871522</v>
      </c>
      <c r="AM43" s="220" t="n">
        <f aca="false">Algae_electricity_factor/Q43</f>
        <v>0.00126965098483625</v>
      </c>
      <c r="AN43" s="220" t="n">
        <f aca="false">Algae_electricity_factor/R43</f>
        <v>0.00116955728555554</v>
      </c>
      <c r="AO43" s="220" t="n">
        <f aca="false">Algae_electricity_factor/S43</f>
        <v>0.00107407515022795</v>
      </c>
      <c r="AP43" s="220" t="n">
        <f aca="false">Algae_electricity_factor/T43</f>
        <v>0.000993006539121367</v>
      </c>
      <c r="AQ43" s="220" t="n">
        <f aca="false">Algae_electricity_factor/U43</f>
        <v>0.000930709535327793</v>
      </c>
      <c r="AR43" s="220" t="n">
        <f aca="false">Algae_electricity_factor/V43</f>
        <v>0.000886408093007504</v>
      </c>
      <c r="AS43" s="220" t="n">
        <f aca="false">Algae_electricity_factor/W43</f>
        <v>0.00085661166970447</v>
      </c>
      <c r="AT43" s="220" t="n">
        <f aca="false">Algae_electricity_factor/X43</f>
        <v>0.000837314957043919</v>
      </c>
      <c r="AU43" s="220" t="n">
        <f aca="false">Algae_electricity_factor/Y43</f>
        <v>0.000825122438738755</v>
      </c>
      <c r="AV43" s="220" t="n">
        <f aca="false">Algae_electricity_factor/Z43</f>
        <v>0.000817538298294805</v>
      </c>
      <c r="AW43" s="220" t="n">
        <f aca="false">Algae_electricity_factor/AA43</f>
        <v>0.000812866556953222</v>
      </c>
      <c r="AX43" s="220" t="n">
        <f aca="false">Algae_electricity_factor/AB43</f>
        <v>0.000810006107990421</v>
      </c>
      <c r="AY43" s="220" t="n">
        <f aca="false">Algae_electricity_factor/AC43</f>
        <v>0.000808261148357886</v>
      </c>
      <c r="AZ43" s="211" t="n">
        <f aca="false">Algae_yield_cost_factor/H43</f>
        <v>0.0891908585998731</v>
      </c>
      <c r="BA43" s="18" t="n">
        <f aca="false">Algae_yield_cost_factor/I43</f>
        <v>0.0891908585998731</v>
      </c>
      <c r="BB43" s="18" t="n">
        <f aca="false">Algae_yield_cost_factor/J43</f>
        <v>0.0891908585998731</v>
      </c>
      <c r="BC43" s="18" t="n">
        <f aca="false">Algae_yield_cost_factor/K43</f>
        <v>0.0891908585998731</v>
      </c>
      <c r="BD43" s="18" t="n">
        <f aca="false">Algae_yield_cost_factor/L43</f>
        <v>0.0891908585998731</v>
      </c>
      <c r="BE43" s="18" t="n">
        <f aca="false">Algae_yield_cost_factor/M43</f>
        <v>0.0851524302424339</v>
      </c>
      <c r="BF43" s="18" t="n">
        <f aca="false">Algae_yield_cost_factor/N43</f>
        <v>0.0829020592640863</v>
      </c>
      <c r="BG43" s="18" t="n">
        <f aca="false">Algae_yield_cost_factor/O43</f>
        <v>0.079691409703191</v>
      </c>
      <c r="BH43" s="18" t="n">
        <f aca="false">Algae_yield_cost_factor/P43</f>
        <v>0.0754304239921666</v>
      </c>
      <c r="BI43" s="18" t="n">
        <f aca="false">Algae_yield_cost_factor/Q43</f>
        <v>0.0702876091030108</v>
      </c>
      <c r="BJ43" s="18" t="n">
        <f aca="false">Algae_yield_cost_factor/R43</f>
        <v>0.0647464431505234</v>
      </c>
      <c r="BK43" s="18" t="n">
        <f aca="false">Algae_yield_cost_factor/S43</f>
        <v>0.0594605723999154</v>
      </c>
      <c r="BL43" s="18" t="n">
        <f aca="false">Algae_yield_cost_factor/T43</f>
        <v>0.0549726312916602</v>
      </c>
      <c r="BM43" s="18" t="n">
        <f aca="false">Algae_yield_cost_factor/U43</f>
        <v>0.0515238823809536</v>
      </c>
      <c r="BN43" s="18" t="n">
        <f aca="false">Algae_yield_cost_factor/V43</f>
        <v>0.0490713639347842</v>
      </c>
      <c r="BO43" s="18" t="n">
        <f aca="false">Algae_yield_cost_factor/W43</f>
        <v>0.0474218402634726</v>
      </c>
      <c r="BP43" s="18" t="n">
        <f aca="false">Algae_yield_cost_factor/X43</f>
        <v>0.0463535783453103</v>
      </c>
      <c r="BQ43" s="18" t="n">
        <f aca="false">Algae_yield_cost_factor/Y43</f>
        <v>0.0456786031191655</v>
      </c>
      <c r="BR43" s="18" t="n">
        <f aca="false">Algae_yield_cost_factor/Z43</f>
        <v>0.0452587467135286</v>
      </c>
      <c r="BS43" s="18" t="n">
        <f aca="false">Algae_yield_cost_factor/AA43</f>
        <v>0.0450001201041933</v>
      </c>
      <c r="BT43" s="18" t="n">
        <f aca="false">Algae_yield_cost_factor/AB43</f>
        <v>0.0448417662565944</v>
      </c>
      <c r="BU43" s="18" t="n">
        <f aca="false">Algae_yield_cost_factor/AC43</f>
        <v>0.0447451656616144</v>
      </c>
    </row>
    <row r="44" customFormat="false" ht="15" hidden="false" customHeight="false" outlineLevel="0" collapsed="false">
      <c r="A44" s="18" t="s">
        <v>697</v>
      </c>
      <c r="B44" s="18" t="s">
        <v>22</v>
      </c>
      <c r="C44" s="18" t="s">
        <v>691</v>
      </c>
      <c r="D44" s="18" t="s">
        <v>691</v>
      </c>
      <c r="E44" s="185" t="n">
        <v>8.151</v>
      </c>
      <c r="F44" s="18" t="n">
        <f aca="false">E44/$B$2*$F$3/1000</f>
        <v>0.01996995</v>
      </c>
      <c r="G44" s="18" t="n">
        <f aca="false">LOOKUP(RIGHT(D44,5),Ref!$C$4:$C$21,Ref!$E$4:$E$21)*$G$3</f>
        <v>2</v>
      </c>
      <c r="H44" s="222" t="n">
        <f aca="false">$E44</f>
        <v>8.151</v>
      </c>
      <c r="I44" s="185" t="n">
        <f aca="false">$E44</f>
        <v>8.151</v>
      </c>
      <c r="J44" s="185" t="n">
        <f aca="false">$E44</f>
        <v>8.151</v>
      </c>
      <c r="K44" s="185" t="n">
        <f aca="false">$E44</f>
        <v>8.151</v>
      </c>
      <c r="L44" s="185" t="n">
        <f aca="false">$E44</f>
        <v>8.151</v>
      </c>
      <c r="M44" s="185" t="n">
        <f aca="false">M$3*$E44</f>
        <v>8.53756829227035</v>
      </c>
      <c r="N44" s="185" t="n">
        <f aca="false">N$3*$E44</f>
        <v>8.76932002535316</v>
      </c>
      <c r="O44" s="185" t="n">
        <f aca="false">O$3*$E44</f>
        <v>9.12262301740228</v>
      </c>
      <c r="P44" s="185" t="n">
        <f aca="false">P$3*$E44</f>
        <v>9.63795044454561</v>
      </c>
      <c r="Q44" s="185" t="n">
        <f aca="false">Q$3*$E44</f>
        <v>10.3431415255868</v>
      </c>
      <c r="R44" s="185" t="n">
        <f aca="false">R$3*$E44</f>
        <v>11.2283339913737</v>
      </c>
      <c r="S44" s="185" t="n">
        <f aca="false">S$3*$E44</f>
        <v>12.2265</v>
      </c>
      <c r="T44" s="185" t="n">
        <f aca="false">T$3*$E44</f>
        <v>13.2246660086263</v>
      </c>
      <c r="U44" s="185" t="n">
        <f aca="false">U$3*$E44</f>
        <v>14.1098584744132</v>
      </c>
      <c r="V44" s="185" t="n">
        <f aca="false">V$3*$E44</f>
        <v>14.8150495554544</v>
      </c>
      <c r="W44" s="185" t="n">
        <f aca="false">W$3*$E44</f>
        <v>15.3303769825977</v>
      </c>
      <c r="X44" s="185" t="n">
        <f aca="false">X$3*$E44</f>
        <v>15.6836799746468</v>
      </c>
      <c r="Y44" s="185" t="n">
        <f aca="false">Y$3*$E44</f>
        <v>15.9154317077297</v>
      </c>
      <c r="Z44" s="185" t="n">
        <f aca="false">Z$3*$E44</f>
        <v>16.0630760071457</v>
      </c>
      <c r="AA44" s="185" t="n">
        <f aca="false">AA$3*$E44</f>
        <v>16.155394402599</v>
      </c>
      <c r="AB44" s="185" t="n">
        <f aca="false">AB$3*$E44</f>
        <v>16.212445430618</v>
      </c>
      <c r="AC44" s="185" t="n">
        <f aca="false">AC$3*$E44</f>
        <v>16.2474465721162</v>
      </c>
      <c r="AD44" s="219" t="n">
        <f aca="false">Algae_electricity_factor/H44</f>
        <v>0.00168612404656229</v>
      </c>
      <c r="AE44" s="220" t="n">
        <f aca="false">Algae_electricity_factor/I44</f>
        <v>0.00168612404656229</v>
      </c>
      <c r="AF44" s="220" t="n">
        <f aca="false">Algae_electricity_factor/J44</f>
        <v>0.00168612404656229</v>
      </c>
      <c r="AG44" s="220" t="n">
        <f aca="false">Algae_electricity_factor/K44</f>
        <v>0.00168612404656229</v>
      </c>
      <c r="AH44" s="220" t="n">
        <f aca="false">Algae_electricity_factor/L44</f>
        <v>0.00168612404656229</v>
      </c>
      <c r="AI44" s="220" t="n">
        <f aca="false">Algae_electricity_factor/M44</f>
        <v>0.00160977887766617</v>
      </c>
      <c r="AJ44" s="220" t="n">
        <f aca="false">Algae_electricity_factor/N44</f>
        <v>0.0015672363494313</v>
      </c>
      <c r="AK44" s="220" t="n">
        <f aca="false">Algae_electricity_factor/O44</f>
        <v>0.00150654006827993</v>
      </c>
      <c r="AL44" s="220" t="n">
        <f aca="false">Algae_electricity_factor/P44</f>
        <v>0.00142598752531532</v>
      </c>
      <c r="AM44" s="220" t="n">
        <f aca="false">Algae_electricity_factor/Q44</f>
        <v>0.00132876428979826</v>
      </c>
      <c r="AN44" s="220" t="n">
        <f aca="false">Algae_electricity_factor/R44</f>
        <v>0.00122401035755509</v>
      </c>
      <c r="AO44" s="220" t="n">
        <f aca="false">Algae_electricity_factor/S44</f>
        <v>0.0011240826977082</v>
      </c>
      <c r="AP44" s="220" t="n">
        <f aca="false">Algae_electricity_factor/T44</f>
        <v>0.00103923963709665</v>
      </c>
      <c r="AQ44" s="220" t="n">
        <f aca="false">Algae_electricity_factor/U44</f>
        <v>0.000974042165515119</v>
      </c>
      <c r="AR44" s="220" t="n">
        <f aca="false">Algae_electricity_factor/V44</f>
        <v>0.000927678105434979</v>
      </c>
      <c r="AS44" s="220" t="n">
        <f aca="false">Algae_electricity_factor/W44</f>
        <v>0.000896494399265609</v>
      </c>
      <c r="AT44" s="220" t="n">
        <f aca="false">Algae_electricity_factor/X44</f>
        <v>0.000876299256663373</v>
      </c>
      <c r="AU44" s="220" t="n">
        <f aca="false">Algae_electricity_factor/Y44</f>
        <v>0.000863539070501895</v>
      </c>
      <c r="AV44" s="220" t="n">
        <f aca="false">Algae_electricity_factor/Z44</f>
        <v>0.000855601822304482</v>
      </c>
      <c r="AW44" s="220" t="n">
        <f aca="false">Algae_electricity_factor/AA44</f>
        <v>0.000850712570738494</v>
      </c>
      <c r="AX44" s="220" t="n">
        <f aca="false">Algae_electricity_factor/AB44</f>
        <v>0.000847718942977829</v>
      </c>
      <c r="AY44" s="220" t="n">
        <f aca="false">Algae_electricity_factor/AC44</f>
        <v>0.00084589274028548</v>
      </c>
      <c r="AZ44" s="211" t="n">
        <f aca="false">Algae_yield_cost_factor/H44</f>
        <v>0.0933434694253733</v>
      </c>
      <c r="BA44" s="18" t="n">
        <f aca="false">Algae_yield_cost_factor/I44</f>
        <v>0.0933434694253733</v>
      </c>
      <c r="BB44" s="18" t="n">
        <f aca="false">Algae_yield_cost_factor/J44</f>
        <v>0.0933434694253733</v>
      </c>
      <c r="BC44" s="18" t="n">
        <f aca="false">Algae_yield_cost_factor/K44</f>
        <v>0.0933434694253733</v>
      </c>
      <c r="BD44" s="18" t="n">
        <f aca="false">Algae_yield_cost_factor/L44</f>
        <v>0.0933434694253733</v>
      </c>
      <c r="BE44" s="18" t="n">
        <f aca="false">Algae_yield_cost_factor/M44</f>
        <v>0.0891170170755836</v>
      </c>
      <c r="BF44" s="18" t="n">
        <f aca="false">Algae_yield_cost_factor/N44</f>
        <v>0.0867618717399446</v>
      </c>
      <c r="BG44" s="18" t="n">
        <f aca="false">Algae_yield_cost_factor/O44</f>
        <v>0.08340173849504</v>
      </c>
      <c r="BH44" s="18" t="n">
        <f aca="false">Algae_yield_cost_factor/P44</f>
        <v>0.0789423668096156</v>
      </c>
      <c r="BI44" s="18" t="n">
        <f aca="false">Algae_yield_cost_factor/Q44</f>
        <v>0.0735601091219769</v>
      </c>
      <c r="BJ44" s="18" t="n">
        <f aca="false">Algae_yield_cost_factor/R44</f>
        <v>0.0677609536615802</v>
      </c>
      <c r="BK44" s="18" t="n">
        <f aca="false">Algae_yield_cost_factor/S44</f>
        <v>0.0622289796169155</v>
      </c>
      <c r="BL44" s="18" t="n">
        <f aca="false">Algae_yield_cost_factor/T44</f>
        <v>0.0575320857849966</v>
      </c>
      <c r="BM44" s="18" t="n">
        <f aca="false">Algae_yield_cost_factor/U44</f>
        <v>0.0539227675930223</v>
      </c>
      <c r="BN44" s="18" t="n">
        <f aca="false">Algae_yield_cost_factor/V44</f>
        <v>0.0513560630653511</v>
      </c>
      <c r="BO44" s="18" t="n">
        <f aca="false">Algae_yield_cost_factor/W44</f>
        <v>0.0496297397089379</v>
      </c>
      <c r="BP44" s="18" t="n">
        <f aca="false">Algae_yield_cost_factor/X44</f>
        <v>0.048511740899849</v>
      </c>
      <c r="BQ44" s="18" t="n">
        <f aca="false">Algae_yield_cost_factor/Y44</f>
        <v>0.0478053397016368</v>
      </c>
      <c r="BR44" s="18" t="n">
        <f aca="false">Algae_yield_cost_factor/Z44</f>
        <v>0.047365935325697</v>
      </c>
      <c r="BS44" s="18" t="n">
        <f aca="false">Algae_yield_cost_factor/AA44</f>
        <v>0.0470952673964937</v>
      </c>
      <c r="BT44" s="18" t="n">
        <f aca="false">Algae_yield_cost_factor/AB44</f>
        <v>0.0469295407989055</v>
      </c>
      <c r="BU44" s="18" t="n">
        <f aca="false">Algae_yield_cost_factor/AC44</f>
        <v>0.0468284426053738</v>
      </c>
    </row>
    <row r="45" customFormat="false" ht="15" hidden="false" customHeight="false" outlineLevel="0" collapsed="false">
      <c r="A45" s="18" t="s">
        <v>697</v>
      </c>
      <c r="B45" s="18" t="s">
        <v>22</v>
      </c>
      <c r="C45" s="18" t="s">
        <v>692</v>
      </c>
      <c r="D45" s="18" t="s">
        <v>692</v>
      </c>
      <c r="E45" s="185" t="n">
        <v>8.27475</v>
      </c>
      <c r="F45" s="18" t="n">
        <f aca="false">E45/$B$2*$F$3/1000</f>
        <v>0.0202731375</v>
      </c>
      <c r="G45" s="18" t="n">
        <f aca="false">LOOKUP(RIGHT(D45,5),Ref!$C$4:$C$21,Ref!$E$4:$E$21)*$G$3</f>
        <v>2.5</v>
      </c>
      <c r="H45" s="222" t="n">
        <f aca="false">$E45</f>
        <v>8.27475</v>
      </c>
      <c r="I45" s="185" t="n">
        <f aca="false">$E45</f>
        <v>8.27475</v>
      </c>
      <c r="J45" s="185" t="n">
        <f aca="false">$E45</f>
        <v>8.27475</v>
      </c>
      <c r="K45" s="185" t="n">
        <f aca="false">$E45</f>
        <v>8.27475</v>
      </c>
      <c r="L45" s="185" t="n">
        <f aca="false">$E45</f>
        <v>8.27475</v>
      </c>
      <c r="M45" s="185" t="n">
        <f aca="false">M$3*$E45</f>
        <v>8.66718724407607</v>
      </c>
      <c r="N45" s="185" t="n">
        <f aca="false">N$3*$E45</f>
        <v>8.90245747513078</v>
      </c>
      <c r="O45" s="185" t="n">
        <f aca="false">O$3*$E45</f>
        <v>9.26112437900252</v>
      </c>
      <c r="P45" s="185" t="n">
        <f aca="false">P$3*$E45</f>
        <v>9.78427560311665</v>
      </c>
      <c r="Q45" s="185" t="n">
        <f aca="false">Q$3*$E45</f>
        <v>10.5001730264814</v>
      </c>
      <c r="R45" s="185" t="n">
        <f aca="false">R$3*$E45</f>
        <v>11.3988046491375</v>
      </c>
      <c r="S45" s="185" t="n">
        <f aca="false">S$3*$E45</f>
        <v>12.412125</v>
      </c>
      <c r="T45" s="185" t="n">
        <f aca="false">T$3*$E45</f>
        <v>13.4254453508625</v>
      </c>
      <c r="U45" s="185" t="n">
        <f aca="false">U$3*$E45</f>
        <v>14.3240769735186</v>
      </c>
      <c r="V45" s="185" t="n">
        <f aca="false">V$3*$E45</f>
        <v>15.0399743968834</v>
      </c>
      <c r="W45" s="185" t="n">
        <f aca="false">W$3*$E45</f>
        <v>15.5631256209975</v>
      </c>
      <c r="X45" s="185" t="n">
        <f aca="false">X$3*$E45</f>
        <v>15.9217925248692</v>
      </c>
      <c r="Y45" s="185" t="n">
        <f aca="false">Y$3*$E45</f>
        <v>16.1570627559239</v>
      </c>
      <c r="Z45" s="185" t="n">
        <f aca="false">Z$3*$E45</f>
        <v>16.3069486185902</v>
      </c>
      <c r="AA45" s="185" t="n">
        <f aca="false">AA$3*$E45</f>
        <v>16.4006686091162</v>
      </c>
      <c r="AB45" s="185" t="n">
        <f aca="false">AB$3*$E45</f>
        <v>16.4585857964675</v>
      </c>
      <c r="AC45" s="185" t="n">
        <f aca="false">AC$3*$E45</f>
        <v>16.4941183318143</v>
      </c>
      <c r="AD45" s="219" t="n">
        <f aca="false">Algae_electricity_factor/H45</f>
        <v>0.00166090783450005</v>
      </c>
      <c r="AE45" s="220" t="n">
        <f aca="false">Algae_electricity_factor/I45</f>
        <v>0.00166090783450005</v>
      </c>
      <c r="AF45" s="220" t="n">
        <f aca="false">Algae_electricity_factor/J45</f>
        <v>0.00166090783450005</v>
      </c>
      <c r="AG45" s="220" t="n">
        <f aca="false">Algae_electricity_factor/K45</f>
        <v>0.00166090783450005</v>
      </c>
      <c r="AH45" s="220" t="n">
        <f aca="false">Algae_electricity_factor/L45</f>
        <v>0.00166090783450005</v>
      </c>
      <c r="AI45" s="220" t="n">
        <f aca="false">Algae_electricity_factor/M45</f>
        <v>0.00158570441788054</v>
      </c>
      <c r="AJ45" s="220" t="n">
        <f aca="false">Algae_electricity_factor/N45</f>
        <v>0.00154379811888148</v>
      </c>
      <c r="AK45" s="220" t="n">
        <f aca="false">Algae_electricity_factor/O45</f>
        <v>0.00148400955878421</v>
      </c>
      <c r="AL45" s="220" t="n">
        <f aca="false">Algae_electricity_factor/P45</f>
        <v>0.00140466168994171</v>
      </c>
      <c r="AM45" s="220" t="n">
        <f aca="false">Algae_electricity_factor/Q45</f>
        <v>0.00130889244099769</v>
      </c>
      <c r="AN45" s="220" t="n">
        <f aca="false">Algae_electricity_factor/R45</f>
        <v>0.0012057051179107</v>
      </c>
      <c r="AO45" s="220" t="n">
        <f aca="false">Algae_electricity_factor/S45</f>
        <v>0.0011072718896667</v>
      </c>
      <c r="AP45" s="220" t="n">
        <f aca="false">Algae_electricity_factor/T45</f>
        <v>0.00102369766844616</v>
      </c>
      <c r="AQ45" s="220" t="n">
        <f aca="false">Algae_electricity_factor/U45</f>
        <v>0.000959475233827456</v>
      </c>
      <c r="AR45" s="220" t="n">
        <f aca="false">Algae_electricity_factor/V45</f>
        <v>0.000913804554506241</v>
      </c>
      <c r="AS45" s="220" t="n">
        <f aca="false">Algae_electricity_factor/W45</f>
        <v>0.000883087204859842</v>
      </c>
      <c r="AT45" s="220" t="n">
        <f aca="false">Algae_electricity_factor/X45</f>
        <v>0.000863194083333412</v>
      </c>
      <c r="AU45" s="220" t="n">
        <f aca="false">Algae_electricity_factor/Y45</f>
        <v>0.000850624727473453</v>
      </c>
      <c r="AV45" s="220" t="n">
        <f aca="false">Algae_electricity_factor/Z45</f>
        <v>0.000842806181891155</v>
      </c>
      <c r="AW45" s="220" t="n">
        <f aca="false">Algae_electricity_factor/AA45</f>
        <v>0.000837990049740411</v>
      </c>
      <c r="AX45" s="220" t="n">
        <f aca="false">Algae_electricity_factor/AB45</f>
        <v>0.000835041192085838</v>
      </c>
      <c r="AY45" s="220" t="n">
        <f aca="false">Algae_electricity_factor/AC45</f>
        <v>0.000833242300500552</v>
      </c>
      <c r="AZ45" s="211" t="n">
        <f aca="false">Algae_yield_cost_factor/H45</f>
        <v>0.0919475052764395</v>
      </c>
      <c r="BA45" s="18" t="n">
        <f aca="false">Algae_yield_cost_factor/I45</f>
        <v>0.0919475052764395</v>
      </c>
      <c r="BB45" s="18" t="n">
        <f aca="false">Algae_yield_cost_factor/J45</f>
        <v>0.0919475052764395</v>
      </c>
      <c r="BC45" s="18" t="n">
        <f aca="false">Algae_yield_cost_factor/K45</f>
        <v>0.0919475052764395</v>
      </c>
      <c r="BD45" s="18" t="n">
        <f aca="false">Algae_yield_cost_factor/L45</f>
        <v>0.0919475052764395</v>
      </c>
      <c r="BE45" s="18" t="n">
        <f aca="false">Algae_yield_cost_factor/M45</f>
        <v>0.0877842600904054</v>
      </c>
      <c r="BF45" s="18" t="n">
        <f aca="false">Algae_yield_cost_factor/N45</f>
        <v>0.0854643362702545</v>
      </c>
      <c r="BG45" s="18" t="n">
        <f aca="false">Algae_yield_cost_factor/O45</f>
        <v>0.0821544542702887</v>
      </c>
      <c r="BH45" s="18" t="n">
        <f aca="false">Algae_yield_cost_factor/P45</f>
        <v>0.0777617730886344</v>
      </c>
      <c r="BI45" s="18" t="n">
        <f aca="false">Algae_yield_cost_factor/Q45</f>
        <v>0.0724600077891457</v>
      </c>
      <c r="BJ45" s="18" t="n">
        <f aca="false">Algae_yield_cost_factor/R45</f>
        <v>0.0667475794792036</v>
      </c>
      <c r="BK45" s="18" t="n">
        <f aca="false">Algae_yield_cost_factor/S45</f>
        <v>0.0612983368509597</v>
      </c>
      <c r="BL45" s="18" t="n">
        <f aca="false">Algae_yield_cost_factor/T45</f>
        <v>0.0566716856984812</v>
      </c>
      <c r="BM45" s="18" t="n">
        <f aca="false">Algae_yield_cost_factor/U45</f>
        <v>0.0531163453458685</v>
      </c>
      <c r="BN45" s="18" t="n">
        <f aca="false">Algae_yield_cost_factor/V45</f>
        <v>0.0505880262298773</v>
      </c>
      <c r="BO45" s="18" t="n">
        <f aca="false">Algae_yield_cost_factor/W45</f>
        <v>0.0488875202716158</v>
      </c>
      <c r="BP45" s="18" t="n">
        <f aca="false">Algae_yield_cost_factor/X45</f>
        <v>0.0477862412851952</v>
      </c>
      <c r="BQ45" s="18" t="n">
        <f aca="false">Algae_yield_cost_factor/Y45</f>
        <v>0.0470904044119812</v>
      </c>
      <c r="BR45" s="18" t="n">
        <f aca="false">Algae_yield_cost_factor/Z45</f>
        <v>0.0466575713876257</v>
      </c>
      <c r="BS45" s="18" t="n">
        <f aca="false">Algae_yield_cost_factor/AA45</f>
        <v>0.0463909513337346</v>
      </c>
      <c r="BT45" s="18" t="n">
        <f aca="false">Algae_yield_cost_factor/AB45</f>
        <v>0.0462277031997195</v>
      </c>
      <c r="BU45" s="18" t="n">
        <f aca="false">Algae_yield_cost_factor/AC45</f>
        <v>0.0461281169432794</v>
      </c>
    </row>
    <row r="46" customFormat="false" ht="15" hidden="false" customHeight="false" outlineLevel="0" collapsed="false">
      <c r="A46" s="18" t="s">
        <v>697</v>
      </c>
      <c r="B46" s="18" t="s">
        <v>22</v>
      </c>
      <c r="C46" s="18" t="s">
        <v>693</v>
      </c>
      <c r="D46" s="18" t="s">
        <v>693</v>
      </c>
      <c r="E46" s="185" t="n">
        <v>8.2995</v>
      </c>
      <c r="F46" s="18" t="n">
        <f aca="false">E46/$B$2*$F$3/1000</f>
        <v>0.020333775</v>
      </c>
      <c r="G46" s="18" t="n">
        <f aca="false">LOOKUP(RIGHT(D46,5),Ref!$C$4:$C$21,Ref!$E$4:$E$21)*$G$3</f>
        <v>3</v>
      </c>
      <c r="H46" s="222" t="n">
        <f aca="false">$E46</f>
        <v>8.2995</v>
      </c>
      <c r="I46" s="185" t="n">
        <f aca="false">$E46</f>
        <v>8.2995</v>
      </c>
      <c r="J46" s="185" t="n">
        <f aca="false">$E46</f>
        <v>8.2995</v>
      </c>
      <c r="K46" s="185" t="n">
        <f aca="false">$E46</f>
        <v>8.2995</v>
      </c>
      <c r="L46" s="185" t="n">
        <f aca="false">$E46</f>
        <v>8.2995</v>
      </c>
      <c r="M46" s="185" t="n">
        <f aca="false">M$3*$E46</f>
        <v>8.69311103443722</v>
      </c>
      <c r="N46" s="185" t="n">
        <f aca="false">N$3*$E46</f>
        <v>8.92908496508631</v>
      </c>
      <c r="O46" s="185" t="n">
        <f aca="false">O$3*$E46</f>
        <v>9.28882465132257</v>
      </c>
      <c r="P46" s="185" t="n">
        <f aca="false">P$3*$E46</f>
        <v>9.81354063483085</v>
      </c>
      <c r="Q46" s="185" t="n">
        <f aca="false">Q$3*$E46</f>
        <v>10.5315793266603</v>
      </c>
      <c r="R46" s="185" t="n">
        <f aca="false">R$3*$E46</f>
        <v>11.4328987806902</v>
      </c>
      <c r="S46" s="185" t="n">
        <f aca="false">S$3*$E46</f>
        <v>12.44925</v>
      </c>
      <c r="T46" s="185" t="n">
        <f aca="false">T$3*$E46</f>
        <v>13.4656012193098</v>
      </c>
      <c r="U46" s="185" t="n">
        <f aca="false">U$3*$E46</f>
        <v>14.3669206733397</v>
      </c>
      <c r="V46" s="185" t="n">
        <f aca="false">V$3*$E46</f>
        <v>15.0849593651691</v>
      </c>
      <c r="W46" s="185" t="n">
        <f aca="false">W$3*$E46</f>
        <v>15.6096753486774</v>
      </c>
      <c r="X46" s="185" t="n">
        <f aca="false">X$3*$E46</f>
        <v>15.9694150349137</v>
      </c>
      <c r="Y46" s="185" t="n">
        <f aca="false">Y$3*$E46</f>
        <v>16.2053889655628</v>
      </c>
      <c r="Z46" s="185" t="n">
        <f aca="false">Z$3*$E46</f>
        <v>16.3557231408791</v>
      </c>
      <c r="AA46" s="185" t="n">
        <f aca="false">AA$3*$E46</f>
        <v>16.4497234504196</v>
      </c>
      <c r="AB46" s="185" t="n">
        <f aca="false">AB$3*$E46</f>
        <v>16.5078138696374</v>
      </c>
      <c r="AC46" s="185" t="n">
        <f aca="false">AC$3*$E46</f>
        <v>16.5434526837539</v>
      </c>
      <c r="AD46" s="219" t="n">
        <f aca="false">Algae_electricity_factor/H46</f>
        <v>0.00165595482902937</v>
      </c>
      <c r="AE46" s="220" t="n">
        <f aca="false">Algae_electricity_factor/I46</f>
        <v>0.00165595482902937</v>
      </c>
      <c r="AF46" s="220" t="n">
        <f aca="false">Algae_electricity_factor/J46</f>
        <v>0.00165595482902937</v>
      </c>
      <c r="AG46" s="220" t="n">
        <f aca="false">Algae_electricity_factor/K46</f>
        <v>0.00165595482902937</v>
      </c>
      <c r="AH46" s="220" t="n">
        <f aca="false">Algae_electricity_factor/L46</f>
        <v>0.00165595482902937</v>
      </c>
      <c r="AI46" s="220" t="n">
        <f aca="false">Algae_electricity_factor/M46</f>
        <v>0.00158097567707175</v>
      </c>
      <c r="AJ46" s="220" t="n">
        <f aca="false">Algae_electricity_factor/N46</f>
        <v>0.00153919434715519</v>
      </c>
      <c r="AK46" s="220" t="n">
        <f aca="false">Algae_electricity_factor/O46</f>
        <v>0.00147958408296279</v>
      </c>
      <c r="AL46" s="220" t="n">
        <f aca="false">Algae_electricity_factor/P46</f>
        <v>0.00140047283798363</v>
      </c>
      <c r="AM46" s="220" t="n">
        <f aca="false">Algae_electricity_factor/Q46</f>
        <v>0.00130498918322135</v>
      </c>
      <c r="AN46" s="220" t="n">
        <f aca="false">Algae_electricity_factor/R46</f>
        <v>0.00120210957580957</v>
      </c>
      <c r="AO46" s="220" t="n">
        <f aca="false">Algae_electricity_factor/S46</f>
        <v>0.00110396988601958</v>
      </c>
      <c r="AP46" s="220" t="n">
        <f aca="false">Algae_electricity_factor/T46</f>
        <v>0.0010206448920989</v>
      </c>
      <c r="AQ46" s="220" t="n">
        <f aca="false">Algae_electricity_factor/U46</f>
        <v>0.000956613975674888</v>
      </c>
      <c r="AR46" s="220" t="n">
        <f aca="false">Algae_electricity_factor/V46</f>
        <v>0.000911079491222425</v>
      </c>
      <c r="AS46" s="220" t="n">
        <f aca="false">Algae_electricity_factor/W46</f>
        <v>0.000880453744010359</v>
      </c>
      <c r="AT46" s="220" t="n">
        <f aca="false">Algae_electricity_factor/X46</f>
        <v>0.000860619945907965</v>
      </c>
      <c r="AU46" s="220" t="n">
        <f aca="false">Algae_electricity_factor/Y46</f>
        <v>0.000848088073216573</v>
      </c>
      <c r="AV46" s="220" t="n">
        <f aca="false">Algae_electricity_factor/Z46</f>
        <v>0.000840292843376569</v>
      </c>
      <c r="AW46" s="220" t="n">
        <f aca="false">Algae_electricity_factor/AA46</f>
        <v>0.000835491073448938</v>
      </c>
      <c r="AX46" s="220" t="n">
        <f aca="false">Algae_electricity_factor/AB46</f>
        <v>0.000832551009604468</v>
      </c>
      <c r="AY46" s="220" t="n">
        <f aca="false">Algae_electricity_factor/AC46</f>
        <v>0.000830757482507012</v>
      </c>
      <c r="AZ46" s="211" t="n">
        <f aca="false">Algae_yield_cost_factor/H46</f>
        <v>0.0916733079446012</v>
      </c>
      <c r="BA46" s="18" t="n">
        <f aca="false">Algae_yield_cost_factor/I46</f>
        <v>0.0916733079446012</v>
      </c>
      <c r="BB46" s="18" t="n">
        <f aca="false">Algae_yield_cost_factor/J46</f>
        <v>0.0916733079446012</v>
      </c>
      <c r="BC46" s="18" t="n">
        <f aca="false">Algae_yield_cost_factor/K46</f>
        <v>0.0916733079446012</v>
      </c>
      <c r="BD46" s="18" t="n">
        <f aca="false">Algae_yield_cost_factor/L46</f>
        <v>0.0916733079446012</v>
      </c>
      <c r="BE46" s="18" t="n">
        <f aca="false">Algae_yield_cost_factor/M46</f>
        <v>0.0875224780026607</v>
      </c>
      <c r="BF46" s="18" t="n">
        <f aca="false">Algae_yield_cost_factor/N46</f>
        <v>0.0852094724443988</v>
      </c>
      <c r="BG46" s="18" t="n">
        <f aca="false">Algae_yield_cost_factor/O46</f>
        <v>0.0819094608678922</v>
      </c>
      <c r="BH46" s="18" t="n">
        <f aca="false">Algae_yield_cost_factor/P46</f>
        <v>0.0775298791331017</v>
      </c>
      <c r="BI46" s="18" t="n">
        <f aca="false">Algae_yield_cost_factor/Q46</f>
        <v>0.0722439242669117</v>
      </c>
      <c r="BJ46" s="18" t="n">
        <f aca="false">Algae_yield_cost_factor/R46</f>
        <v>0.0665485310314525</v>
      </c>
      <c r="BK46" s="18" t="n">
        <f aca="false">Algae_yield_cost_factor/S46</f>
        <v>0.0611155386297341</v>
      </c>
      <c r="BL46" s="18" t="n">
        <f aca="false">Algae_yield_cost_factor/T46</f>
        <v>0.0565026846476905</v>
      </c>
      <c r="BM46" s="18" t="n">
        <f aca="false">Algae_yield_cost_factor/U46</f>
        <v>0.0529579467016959</v>
      </c>
      <c r="BN46" s="18" t="n">
        <f aca="false">Algae_yield_cost_factor/V46</f>
        <v>0.0504371673047385</v>
      </c>
      <c r="BO46" s="18" t="n">
        <f aca="false">Algae_yield_cost_factor/W46</f>
        <v>0.0487417324378038</v>
      </c>
      <c r="BP46" s="18" t="n">
        <f aca="false">Algae_yield_cost_factor/X46</f>
        <v>0.0476437375835495</v>
      </c>
      <c r="BQ46" s="18" t="n">
        <f aca="false">Algae_yield_cost_factor/Y46</f>
        <v>0.0469499757705936</v>
      </c>
      <c r="BR46" s="18" t="n">
        <f aca="false">Algae_yield_cost_factor/Z46</f>
        <v>0.0465184335007839</v>
      </c>
      <c r="BS46" s="18" t="n">
        <f aca="false">Algae_yield_cost_factor/AA46</f>
        <v>0.0462526085365167</v>
      </c>
      <c r="BT46" s="18" t="n">
        <f aca="false">Algae_yield_cost_factor/AB46</f>
        <v>0.0460898472259628</v>
      </c>
      <c r="BU46" s="18" t="n">
        <f aca="false">Algae_yield_cost_factor/AC46</f>
        <v>0.0459905579464307</v>
      </c>
    </row>
    <row r="47" customFormat="false" ht="15" hidden="false" customHeight="false" outlineLevel="0" collapsed="false">
      <c r="A47" s="18" t="s">
        <v>697</v>
      </c>
      <c r="B47" s="18" t="s">
        <v>22</v>
      </c>
      <c r="C47" s="18" t="s">
        <v>694</v>
      </c>
      <c r="D47" s="18" t="s">
        <v>694</v>
      </c>
      <c r="E47" s="185" t="n">
        <v>7.64775</v>
      </c>
      <c r="F47" s="18" t="n">
        <f aca="false">E47/$B$2*$F$3/1000</f>
        <v>0.0187369875</v>
      </c>
      <c r="G47" s="18" t="n">
        <f aca="false">LOOKUP(RIGHT(D47,5),Ref!$C$4:$C$21,Ref!$E$4:$E$21)*$G$3</f>
        <v>3</v>
      </c>
      <c r="H47" s="222" t="n">
        <f aca="false">$E47</f>
        <v>7.64775</v>
      </c>
      <c r="I47" s="185" t="n">
        <f aca="false">$E47</f>
        <v>7.64775</v>
      </c>
      <c r="J47" s="185" t="n">
        <f aca="false">$E47</f>
        <v>7.64775</v>
      </c>
      <c r="K47" s="185" t="n">
        <f aca="false">$E47</f>
        <v>7.64775</v>
      </c>
      <c r="L47" s="185" t="n">
        <f aca="false">$E47</f>
        <v>7.64775</v>
      </c>
      <c r="M47" s="185" t="n">
        <f aca="false">M$3*$E47</f>
        <v>8.01045122159374</v>
      </c>
      <c r="N47" s="185" t="n">
        <f aca="false">N$3*$E47</f>
        <v>8.22789439625747</v>
      </c>
      <c r="O47" s="185" t="n">
        <f aca="false">O$3*$E47</f>
        <v>8.55938414689465</v>
      </c>
      <c r="P47" s="185" t="n">
        <f aca="false">P$3*$E47</f>
        <v>9.04289479969006</v>
      </c>
      <c r="Q47" s="185" t="n">
        <f aca="false">Q$3*$E47</f>
        <v>9.70454675528238</v>
      </c>
      <c r="R47" s="185" t="n">
        <f aca="false">R$3*$E47</f>
        <v>10.535086649801</v>
      </c>
      <c r="S47" s="185" t="n">
        <f aca="false">S$3*$E47</f>
        <v>11.471625</v>
      </c>
      <c r="T47" s="185" t="n">
        <f aca="false">T$3*$E47</f>
        <v>12.408163350199</v>
      </c>
      <c r="U47" s="185" t="n">
        <f aca="false">U$3*$E47</f>
        <v>13.2387032447176</v>
      </c>
      <c r="V47" s="185" t="n">
        <f aca="false">V$3*$E47</f>
        <v>13.9003552003099</v>
      </c>
      <c r="W47" s="185" t="n">
        <f aca="false">W$3*$E47</f>
        <v>14.3838658531053</v>
      </c>
      <c r="X47" s="185" t="n">
        <f aca="false">X$3*$E47</f>
        <v>14.7153556037425</v>
      </c>
      <c r="Y47" s="185" t="n">
        <f aca="false">Y$3*$E47</f>
        <v>14.9327987784063</v>
      </c>
      <c r="Z47" s="185" t="n">
        <f aca="false">Z$3*$E47</f>
        <v>15.0713273872713</v>
      </c>
      <c r="AA47" s="185" t="n">
        <f aca="false">AA$3*$E47</f>
        <v>15.1579459627624</v>
      </c>
      <c r="AB47" s="185" t="n">
        <f aca="false">AB$3*$E47</f>
        <v>15.2114746094969</v>
      </c>
      <c r="AC47" s="185" t="n">
        <f aca="false">AC$3*$E47</f>
        <v>15.2443147493438</v>
      </c>
      <c r="AD47" s="219" t="n">
        <f aca="false">Algae_electricity_factor/H47</f>
        <v>0.00179707719309983</v>
      </c>
      <c r="AE47" s="220" t="n">
        <f aca="false">Algae_electricity_factor/I47</f>
        <v>0.00179707719309983</v>
      </c>
      <c r="AF47" s="220" t="n">
        <f aca="false">Algae_electricity_factor/J47</f>
        <v>0.00179707719309983</v>
      </c>
      <c r="AG47" s="220" t="n">
        <f aca="false">Algae_electricity_factor/K47</f>
        <v>0.00179707719309983</v>
      </c>
      <c r="AH47" s="220" t="n">
        <f aca="false">Algae_electricity_factor/L47</f>
        <v>0.00179707719309983</v>
      </c>
      <c r="AI47" s="220" t="n">
        <f aca="false">Algae_electricity_factor/M47</f>
        <v>0.0017157082320757</v>
      </c>
      <c r="AJ47" s="220" t="n">
        <f aca="false">Algae_electricity_factor/N47</f>
        <v>0.00167036624944781</v>
      </c>
      <c r="AK47" s="220" t="n">
        <f aca="false">Algae_electricity_factor/O47</f>
        <v>0.00160567593037817</v>
      </c>
      <c r="AL47" s="220" t="n">
        <f aca="false">Algae_electricity_factor/P47</f>
        <v>0.00151982273464027</v>
      </c>
      <c r="AM47" s="220" t="n">
        <f aca="false">Algae_electricity_factor/Q47</f>
        <v>0.00141620185363612</v>
      </c>
      <c r="AN47" s="220" t="n">
        <f aca="false">Algae_electricity_factor/R47</f>
        <v>0.00130455472844059</v>
      </c>
      <c r="AO47" s="220" t="n">
        <f aca="false">Algae_electricity_factor/S47</f>
        <v>0.00119805146206656</v>
      </c>
      <c r="AP47" s="220" t="n">
        <f aca="false">Algae_electricity_factor/T47</f>
        <v>0.00110762541688403</v>
      </c>
      <c r="AQ47" s="220" t="n">
        <f aca="false">Algae_electricity_factor/U47</f>
        <v>0.0010381377125447</v>
      </c>
      <c r="AR47" s="220" t="n">
        <f aca="false">Algae_electricity_factor/V47</f>
        <v>0.000988722727259719</v>
      </c>
      <c r="AS47" s="220" t="n">
        <f aca="false">Algae_electricity_factor/W47</f>
        <v>0.000955487018850509</v>
      </c>
      <c r="AT47" s="220" t="n">
        <f aca="false">Algae_electricity_factor/X47</f>
        <v>0.000933962961794404</v>
      </c>
      <c r="AU47" s="220" t="n">
        <f aca="false">Algae_electricity_factor/Y47</f>
        <v>0.000920363108582387</v>
      </c>
      <c r="AV47" s="220" t="n">
        <f aca="false">Algae_electricity_factor/Z47</f>
        <v>0.000911903560341778</v>
      </c>
      <c r="AW47" s="220" t="n">
        <f aca="false">Algae_electricity_factor/AA47</f>
        <v>0.000906692578090218</v>
      </c>
      <c r="AX47" s="220" t="n">
        <f aca="false">Algae_electricity_factor/AB47</f>
        <v>0.000903501958643037</v>
      </c>
      <c r="AY47" s="220" t="n">
        <f aca="false">Algae_electricity_factor/AC47</f>
        <v>0.000901555585115484</v>
      </c>
      <c r="AZ47" s="211" t="n">
        <f aca="false">Algae_yield_cost_factor/H47</f>
        <v>0.0994858120736449</v>
      </c>
      <c r="BA47" s="18" t="n">
        <f aca="false">Algae_yield_cost_factor/I47</f>
        <v>0.0994858120736449</v>
      </c>
      <c r="BB47" s="18" t="n">
        <f aca="false">Algae_yield_cost_factor/J47</f>
        <v>0.0994858120736449</v>
      </c>
      <c r="BC47" s="18" t="n">
        <f aca="false">Algae_yield_cost_factor/K47</f>
        <v>0.0994858120736449</v>
      </c>
      <c r="BD47" s="18" t="n">
        <f aca="false">Algae_yield_cost_factor/L47</f>
        <v>0.0994858120736449</v>
      </c>
      <c r="BE47" s="18" t="n">
        <f aca="false">Algae_yield_cost_factor/M47</f>
        <v>0.0949812436576878</v>
      </c>
      <c r="BF47" s="18" t="n">
        <f aca="false">Algae_yield_cost_factor/N47</f>
        <v>0.0924711211208902</v>
      </c>
      <c r="BG47" s="18" t="n">
        <f aca="false">Algae_yield_cost_factor/O47</f>
        <v>0.0888898787843576</v>
      </c>
      <c r="BH47" s="18" t="n">
        <f aca="false">Algae_yield_cost_factor/P47</f>
        <v>0.0841370640861923</v>
      </c>
      <c r="BI47" s="18" t="n">
        <f aca="false">Algae_yield_cost_factor/Q47</f>
        <v>0.0784006341019559</v>
      </c>
      <c r="BJ47" s="18" t="n">
        <f aca="false">Algae_yield_cost_factor/R47</f>
        <v>0.0722198729424393</v>
      </c>
      <c r="BK47" s="18" t="n">
        <f aca="false">Algae_yield_cost_factor/S47</f>
        <v>0.0663238747157633</v>
      </c>
      <c r="BL47" s="18" t="n">
        <f aca="false">Algae_yield_cost_factor/T47</f>
        <v>0.0613179080426932</v>
      </c>
      <c r="BM47" s="18" t="n">
        <f aca="false">Algae_yield_cost_factor/U47</f>
        <v>0.0574710834756268</v>
      </c>
      <c r="BN47" s="18" t="n">
        <f aca="false">Algae_yield_cost_factor/V47</f>
        <v>0.0547354803760161</v>
      </c>
      <c r="BO47" s="18" t="n">
        <f aca="false">Algae_yield_cost_factor/W47</f>
        <v>0.0528955586110363</v>
      </c>
      <c r="BP47" s="18" t="n">
        <f aca="false">Algae_yield_cost_factor/X47</f>
        <v>0.0517039913797743</v>
      </c>
      <c r="BQ47" s="18" t="n">
        <f aca="false">Algae_yield_cost_factor/Y47</f>
        <v>0.05095110639182</v>
      </c>
      <c r="BR47" s="18" t="n">
        <f aca="false">Algae_yield_cost_factor/Z47</f>
        <v>0.05048278759632</v>
      </c>
      <c r="BS47" s="18" t="n">
        <f aca="false">Algae_yield_cost_factor/AA47</f>
        <v>0.0501943087246341</v>
      </c>
      <c r="BT47" s="18" t="n">
        <f aca="false">Algae_yield_cost_factor/AB47</f>
        <v>0.0500176767090816</v>
      </c>
      <c r="BU47" s="18" t="n">
        <f aca="false">Algae_yield_cost_factor/AC47</f>
        <v>0.049909925883613</v>
      </c>
    </row>
    <row r="48" customFormat="false" ht="15" hidden="false" customHeight="false" outlineLevel="0" collapsed="false">
      <c r="A48" s="18" t="s">
        <v>697</v>
      </c>
      <c r="B48" s="18" t="s">
        <v>22</v>
      </c>
      <c r="C48" s="18" t="s">
        <v>682</v>
      </c>
      <c r="D48" s="18" t="s">
        <v>682</v>
      </c>
      <c r="E48" s="185" t="n">
        <v>8.72025</v>
      </c>
      <c r="F48" s="18" t="n">
        <f aca="false">E48/$B$2*$F$3/1000</f>
        <v>0.0213646125</v>
      </c>
      <c r="G48" s="18" t="n">
        <f aca="false">LOOKUP(RIGHT(D48,5),Ref!$C$4:$C$21,Ref!$E$4:$E$21)*$G$3</f>
        <v>3</v>
      </c>
      <c r="H48" s="222" t="n">
        <f aca="false">$E48</f>
        <v>8.72025</v>
      </c>
      <c r="I48" s="185" t="n">
        <f aca="false">$E48</f>
        <v>8.72025</v>
      </c>
      <c r="J48" s="185" t="n">
        <f aca="false">$E48</f>
        <v>8.72025</v>
      </c>
      <c r="K48" s="185" t="n">
        <f aca="false">$E48</f>
        <v>8.72025</v>
      </c>
      <c r="L48" s="185" t="n">
        <f aca="false">$E48</f>
        <v>8.72025</v>
      </c>
      <c r="M48" s="185" t="n">
        <f aca="false">M$3*$E48</f>
        <v>9.13381547057668</v>
      </c>
      <c r="N48" s="185" t="n">
        <f aca="false">N$3*$E48</f>
        <v>9.38175229433025</v>
      </c>
      <c r="O48" s="185" t="n">
        <f aca="false">O$3*$E48</f>
        <v>9.75972928076337</v>
      </c>
      <c r="P48" s="185" t="n">
        <f aca="false">P$3*$E48</f>
        <v>10.3110461739724</v>
      </c>
      <c r="Q48" s="185" t="n">
        <f aca="false">Q$3*$E48</f>
        <v>11.0654864297017</v>
      </c>
      <c r="R48" s="185" t="n">
        <f aca="false">R$3*$E48</f>
        <v>12.012499017087</v>
      </c>
      <c r="S48" s="185" t="n">
        <f aca="false">S$3*$E48</f>
        <v>13.080375</v>
      </c>
      <c r="T48" s="185" t="n">
        <f aca="false">T$3*$E48</f>
        <v>14.148250982913</v>
      </c>
      <c r="U48" s="185" t="n">
        <f aca="false">U$3*$E48</f>
        <v>15.0952635702983</v>
      </c>
      <c r="V48" s="185" t="n">
        <f aca="false">V$3*$E48</f>
        <v>15.8497038260276</v>
      </c>
      <c r="W48" s="185" t="n">
        <f aca="false">W$3*$E48</f>
        <v>16.4010207192366</v>
      </c>
      <c r="X48" s="185" t="n">
        <f aca="false">X$3*$E48</f>
        <v>16.7789977056698</v>
      </c>
      <c r="Y48" s="185" t="n">
        <f aca="false">Y$3*$E48</f>
        <v>17.0269345294233</v>
      </c>
      <c r="Z48" s="185" t="n">
        <f aca="false">Z$3*$E48</f>
        <v>17.1848900197905</v>
      </c>
      <c r="AA48" s="185" t="n">
        <f aca="false">AA$3*$E48</f>
        <v>17.2836557525781</v>
      </c>
      <c r="AB48" s="185" t="n">
        <f aca="false">AB$3*$E48</f>
        <v>17.3446911135256</v>
      </c>
      <c r="AC48" s="185" t="n">
        <f aca="false">AC$3*$E48</f>
        <v>17.3821366667275</v>
      </c>
      <c r="AD48" s="219" t="n">
        <f aca="false">Algae_electricity_factor/H48</f>
        <v>0.00157605540019257</v>
      </c>
      <c r="AE48" s="220" t="n">
        <f aca="false">Algae_electricity_factor/I48</f>
        <v>0.00157605540019257</v>
      </c>
      <c r="AF48" s="220" t="n">
        <f aca="false">Algae_electricity_factor/J48</f>
        <v>0.00157605540019257</v>
      </c>
      <c r="AG48" s="220" t="n">
        <f aca="false">Algae_electricity_factor/K48</f>
        <v>0.00157605540019257</v>
      </c>
      <c r="AH48" s="220" t="n">
        <f aca="false">Algae_electricity_factor/L48</f>
        <v>0.00157605540019257</v>
      </c>
      <c r="AI48" s="220" t="n">
        <f aca="false">Algae_electricity_factor/M48</f>
        <v>0.00150469397458295</v>
      </c>
      <c r="AJ48" s="220" t="n">
        <f aca="false">Algae_electricity_factor/N48</f>
        <v>0.00146492858395281</v>
      </c>
      <c r="AK48" s="220" t="n">
        <f aca="false">Algae_electricity_factor/O48</f>
        <v>0.00140819450090877</v>
      </c>
      <c r="AL48" s="220" t="n">
        <f aca="false">Algae_electricity_factor/P48</f>
        <v>0.00133290035478858</v>
      </c>
      <c r="AM48" s="220" t="n">
        <f aca="false">Algae_electricity_factor/Q48</f>
        <v>0.00124202376378494</v>
      </c>
      <c r="AN48" s="220" t="n">
        <f aca="false">Algae_electricity_factor/R48</f>
        <v>0.00114410807309785</v>
      </c>
      <c r="AO48" s="220" t="n">
        <f aca="false">Algae_electricity_factor/S48</f>
        <v>0.00105070360012838</v>
      </c>
      <c r="AP48" s="220" t="n">
        <f aca="false">Algae_electricity_factor/T48</f>
        <v>0.000971399017456474</v>
      </c>
      <c r="AQ48" s="220" t="n">
        <f aca="false">Algae_electricity_factor/U48</f>
        <v>0.000910457577605428</v>
      </c>
      <c r="AR48" s="220" t="n">
        <f aca="false">Algae_electricity_factor/V48</f>
        <v>0.000867120121258051</v>
      </c>
      <c r="AS48" s="220" t="n">
        <f aca="false">Algae_electricity_factor/W48</f>
        <v>0.000837972059105413</v>
      </c>
      <c r="AT48" s="220" t="n">
        <f aca="false">Algae_electricity_factor/X48</f>
        <v>0.0008190952370704</v>
      </c>
      <c r="AU48" s="220" t="n">
        <f aca="false">Algae_electricity_factor/Y48</f>
        <v>0.000807168024272349</v>
      </c>
      <c r="AV48" s="220" t="n">
        <f aca="false">Algae_electricity_factor/Z48</f>
        <v>0.000799748912428409</v>
      </c>
      <c r="AW48" s="220" t="n">
        <f aca="false">Algae_electricity_factor/AA48</f>
        <v>0.000795178826764079</v>
      </c>
      <c r="AX48" s="220" t="n">
        <f aca="false">Algae_electricity_factor/AB48</f>
        <v>0.000792380620304726</v>
      </c>
      <c r="AY48" s="220" t="n">
        <f aca="false">Algae_electricity_factor/AC48</f>
        <v>0.000790673630465519</v>
      </c>
      <c r="AZ48" s="211" t="n">
        <f aca="false">Algae_yield_cost_factor/H48</f>
        <v>0.0872500925187028</v>
      </c>
      <c r="BA48" s="18" t="n">
        <f aca="false">Algae_yield_cost_factor/I48</f>
        <v>0.0872500925187028</v>
      </c>
      <c r="BB48" s="18" t="n">
        <f aca="false">Algae_yield_cost_factor/J48</f>
        <v>0.0872500925187028</v>
      </c>
      <c r="BC48" s="18" t="n">
        <f aca="false">Algae_yield_cost_factor/K48</f>
        <v>0.0872500925187028</v>
      </c>
      <c r="BD48" s="18" t="n">
        <f aca="false">Algae_yield_cost_factor/L48</f>
        <v>0.0872500925187028</v>
      </c>
      <c r="BE48" s="18" t="n">
        <f aca="false">Algae_yield_cost_factor/M48</f>
        <v>0.083299539139713</v>
      </c>
      <c r="BF48" s="18" t="n">
        <f aca="false">Algae_yield_cost_factor/N48</f>
        <v>0.0810981355525688</v>
      </c>
      <c r="BG48" s="18" t="n">
        <f aca="false">Algae_yield_cost_factor/O48</f>
        <v>0.077957348754115</v>
      </c>
      <c r="BH48" s="18" t="n">
        <f aca="false">Algae_yield_cost_factor/P48</f>
        <v>0.0737890808021762</v>
      </c>
      <c r="BI48" s="18" t="n">
        <f aca="false">Algae_yield_cost_factor/Q48</f>
        <v>0.0687581720080541</v>
      </c>
      <c r="BJ48" s="18" t="n">
        <f aca="false">Algae_yield_cost_factor/R48</f>
        <v>0.0633375801491402</v>
      </c>
      <c r="BK48" s="18" t="n">
        <f aca="false">Algae_yield_cost_factor/S48</f>
        <v>0.0581667283458018</v>
      </c>
      <c r="BL48" s="18" t="n">
        <f aca="false">Algae_yield_cost_factor/T48</f>
        <v>0.0537764434773667</v>
      </c>
      <c r="BM48" s="18" t="n">
        <f aca="false">Algae_yield_cost_factor/U48</f>
        <v>0.0504027382988704</v>
      </c>
      <c r="BN48" s="18" t="n">
        <f aca="false">Algae_yield_cost_factor/V48</f>
        <v>0.0480035859116054</v>
      </c>
      <c r="BO48" s="18" t="n">
        <f aca="false">Algae_yield_cost_factor/W48</f>
        <v>0.0463899553759987</v>
      </c>
      <c r="BP48" s="18" t="n">
        <f aca="false">Algae_yield_cost_factor/X48</f>
        <v>0.0453449385137661</v>
      </c>
      <c r="BQ48" s="18" t="n">
        <f aca="false">Algae_yield_cost_factor/Y48</f>
        <v>0.0446846505441979</v>
      </c>
      <c r="BR48" s="18" t="n">
        <f aca="false">Algae_yield_cost_factor/Z48</f>
        <v>0.0442739300868388</v>
      </c>
      <c r="BS48" s="18" t="n">
        <f aca="false">Algae_yield_cost_factor/AA48</f>
        <v>0.044020931114225</v>
      </c>
      <c r="BT48" s="18" t="n">
        <f aca="false">Algae_yield_cost_factor/AB48</f>
        <v>0.0438660229984093</v>
      </c>
      <c r="BU48" s="18" t="n">
        <f aca="false">Algae_yield_cost_factor/AC48</f>
        <v>0.0437715244031308</v>
      </c>
    </row>
    <row r="49" customFormat="false" ht="15" hidden="false" customHeight="false" outlineLevel="0" collapsed="false">
      <c r="A49" s="18" t="s">
        <v>697</v>
      </c>
      <c r="B49" s="18" t="s">
        <v>22</v>
      </c>
      <c r="C49" s="18" t="s">
        <v>683</v>
      </c>
      <c r="D49" s="18" t="s">
        <v>683</v>
      </c>
      <c r="E49" s="185" t="n">
        <v>8.085</v>
      </c>
      <c r="F49" s="18" t="n">
        <f aca="false">E49/$B$2*$F$3/1000</f>
        <v>0.01980825</v>
      </c>
      <c r="G49" s="18" t="n">
        <f aca="false">LOOKUP(RIGHT(D49,5),Ref!$C$4:$C$21,Ref!$E$4:$E$21)*$G$3</f>
        <v>3</v>
      </c>
      <c r="H49" s="222" t="n">
        <f aca="false">$E49</f>
        <v>8.085</v>
      </c>
      <c r="I49" s="185" t="n">
        <f aca="false">$E49</f>
        <v>8.085</v>
      </c>
      <c r="J49" s="185" t="n">
        <f aca="false">$E49</f>
        <v>8.085</v>
      </c>
      <c r="K49" s="185" t="n">
        <f aca="false">$E49</f>
        <v>8.085</v>
      </c>
      <c r="L49" s="185" t="n">
        <f aca="false">$E49</f>
        <v>8.085</v>
      </c>
      <c r="M49" s="185" t="n">
        <f aca="false">M$3*$E49</f>
        <v>8.46843818464063</v>
      </c>
      <c r="N49" s="185" t="n">
        <f aca="false">N$3*$E49</f>
        <v>8.69831338547175</v>
      </c>
      <c r="O49" s="185" t="n">
        <f aca="false">O$3*$E49</f>
        <v>9.04875562454882</v>
      </c>
      <c r="P49" s="185" t="n">
        <f aca="false">P$3*$E49</f>
        <v>9.55991035997439</v>
      </c>
      <c r="Q49" s="185" t="n">
        <f aca="false">Q$3*$E49</f>
        <v>10.2593913917764</v>
      </c>
      <c r="R49" s="185" t="n">
        <f aca="false">R$3*$E49</f>
        <v>11.137416307233</v>
      </c>
      <c r="S49" s="185" t="n">
        <f aca="false">S$3*$E49</f>
        <v>12.1275</v>
      </c>
      <c r="T49" s="185" t="n">
        <f aca="false">T$3*$E49</f>
        <v>13.117583692767</v>
      </c>
      <c r="U49" s="185" t="n">
        <f aca="false">U$3*$E49</f>
        <v>13.9956086082236</v>
      </c>
      <c r="V49" s="185" t="n">
        <f aca="false">V$3*$E49</f>
        <v>14.6950896400256</v>
      </c>
      <c r="W49" s="185" t="n">
        <f aca="false">W$3*$E49</f>
        <v>15.2062443754512</v>
      </c>
      <c r="X49" s="185" t="n">
        <f aca="false">X$3*$E49</f>
        <v>15.5566866145282</v>
      </c>
      <c r="Y49" s="185" t="n">
        <f aca="false">Y$3*$E49</f>
        <v>15.7865618153594</v>
      </c>
      <c r="Z49" s="185" t="n">
        <f aca="false">Z$3*$E49</f>
        <v>15.9330106143753</v>
      </c>
      <c r="AA49" s="185" t="n">
        <f aca="false">AA$3*$E49</f>
        <v>16.0245814924565</v>
      </c>
      <c r="AB49" s="185" t="n">
        <f aca="false">AB$3*$E49</f>
        <v>16.0811705688317</v>
      </c>
      <c r="AC49" s="185" t="n">
        <f aca="false">AC$3*$E49</f>
        <v>16.1158883002772</v>
      </c>
      <c r="AD49" s="219" t="n">
        <f aca="false">Algae_electricity_factor/H49</f>
        <v>0.00169988832449342</v>
      </c>
      <c r="AE49" s="220" t="n">
        <f aca="false">Algae_electricity_factor/I49</f>
        <v>0.00169988832449342</v>
      </c>
      <c r="AF49" s="220" t="n">
        <f aca="false">Algae_electricity_factor/J49</f>
        <v>0.00169988832449342</v>
      </c>
      <c r="AG49" s="220" t="n">
        <f aca="false">Algae_electricity_factor/K49</f>
        <v>0.00169988832449342</v>
      </c>
      <c r="AH49" s="220" t="n">
        <f aca="false">Algae_electricity_factor/L49</f>
        <v>0.00169988832449342</v>
      </c>
      <c r="AI49" s="220" t="n">
        <f aca="false">Algae_electricity_factor/M49</f>
        <v>0.00162291992972875</v>
      </c>
      <c r="AJ49" s="220" t="n">
        <f aca="false">Algae_electricity_factor/N49</f>
        <v>0.0015800301155491</v>
      </c>
      <c r="AK49" s="220" t="n">
        <f aca="false">Algae_electricity_factor/O49</f>
        <v>0.0015188383545516</v>
      </c>
      <c r="AL49" s="220" t="n">
        <f aca="false">Algae_electricity_factor/P49</f>
        <v>0.00143762823980769</v>
      </c>
      <c r="AM49" s="220" t="n">
        <f aca="false">Algae_electricity_factor/Q49</f>
        <v>0.00133961134522518</v>
      </c>
      <c r="AN49" s="220" t="n">
        <f aca="false">Algae_electricity_factor/R49</f>
        <v>0.00123400227884125</v>
      </c>
      <c r="AO49" s="220" t="n">
        <f aca="false">Algae_electricity_factor/S49</f>
        <v>0.00113325888299561</v>
      </c>
      <c r="AP49" s="220" t="n">
        <f aca="false">Algae_electricity_factor/T49</f>
        <v>0.00104772322597091</v>
      </c>
      <c r="AQ49" s="220" t="n">
        <f aca="false">Algae_electricity_factor/U49</f>
        <v>0.000981993530131569</v>
      </c>
      <c r="AR49" s="220" t="n">
        <f aca="false">Algae_electricity_factor/V49</f>
        <v>0.000935250987928326</v>
      </c>
      <c r="AS49" s="220" t="n">
        <f aca="false">Algae_electricity_factor/W49</f>
        <v>0.000903812720892267</v>
      </c>
      <c r="AT49" s="220" t="n">
        <f aca="false">Algae_electricity_factor/X49</f>
        <v>0.000883452719983074</v>
      </c>
      <c r="AU49" s="220" t="n">
        <f aca="false">Algae_electricity_factor/Y49</f>
        <v>0.000870588369036605</v>
      </c>
      <c r="AV49" s="220" t="n">
        <f aca="false">Algae_electricity_factor/Z49</f>
        <v>0.000862586326976355</v>
      </c>
      <c r="AW49" s="220" t="n">
        <f aca="false">Algae_electricity_factor/AA49</f>
        <v>0.000857657163152686</v>
      </c>
      <c r="AX49" s="220" t="n">
        <f aca="false">Algae_electricity_factor/AB49</f>
        <v>0.000854639097614383</v>
      </c>
      <c r="AY49" s="220" t="n">
        <f aca="false">Algae_electricity_factor/AC49</f>
        <v>0.000852797987144953</v>
      </c>
      <c r="AZ49" s="211" t="n">
        <f aca="false">Algae_yield_cost_factor/H49</f>
        <v>0.0941054569308866</v>
      </c>
      <c r="BA49" s="18" t="n">
        <f aca="false">Algae_yield_cost_factor/I49</f>
        <v>0.0941054569308866</v>
      </c>
      <c r="BB49" s="18" t="n">
        <f aca="false">Algae_yield_cost_factor/J49</f>
        <v>0.0941054569308866</v>
      </c>
      <c r="BC49" s="18" t="n">
        <f aca="false">Algae_yield_cost_factor/K49</f>
        <v>0.0941054569308866</v>
      </c>
      <c r="BD49" s="18" t="n">
        <f aca="false">Algae_yield_cost_factor/L49</f>
        <v>0.0941054569308866</v>
      </c>
      <c r="BE49" s="18" t="n">
        <f aca="false">Algae_yield_cost_factor/M49</f>
        <v>0.0898445029292619</v>
      </c>
      <c r="BF49" s="18" t="n">
        <f aca="false">Algae_yield_cost_factor/N49</f>
        <v>0.0874701319174135</v>
      </c>
      <c r="BG49" s="18" t="n">
        <f aca="false">Algae_yield_cost_factor/O49</f>
        <v>0.0840825690133669</v>
      </c>
      <c r="BH49" s="18" t="n">
        <f aca="false">Algae_yield_cost_factor/P49</f>
        <v>0.0795867942937758</v>
      </c>
      <c r="BI49" s="18" t="n">
        <f aca="false">Algae_yield_cost_factor/Q49</f>
        <v>0.0741605998086869</v>
      </c>
      <c r="BJ49" s="18" t="n">
        <f aca="false">Algae_yield_cost_factor/R49</f>
        <v>0.0683141043037155</v>
      </c>
      <c r="BK49" s="18" t="n">
        <f aca="false">Algae_yield_cost_factor/S49</f>
        <v>0.0627369712872577</v>
      </c>
      <c r="BL49" s="18" t="n">
        <f aca="false">Algae_yield_cost_factor/T49</f>
        <v>0.0580017354648741</v>
      </c>
      <c r="BM49" s="18" t="n">
        <f aca="false">Algae_yield_cost_factor/U49</f>
        <v>0.0543629534509245</v>
      </c>
      <c r="BN49" s="18" t="n">
        <f aca="false">Algae_yield_cost_factor/V49</f>
        <v>0.0517752962332316</v>
      </c>
      <c r="BO49" s="18" t="n">
        <f aca="false">Algae_yield_cost_factor/W49</f>
        <v>0.0500348804412558</v>
      </c>
      <c r="BP49" s="18" t="n">
        <f aca="false">Algae_yield_cost_factor/X49</f>
        <v>0.0489077551112763</v>
      </c>
      <c r="BQ49" s="18" t="n">
        <f aca="false">Algae_yield_cost_factor/Y49</f>
        <v>0.0481955873726706</v>
      </c>
      <c r="BR49" s="18" t="n">
        <f aca="false">Algae_yield_cost_factor/Z49</f>
        <v>0.0477525960222333</v>
      </c>
      <c r="BS49" s="18" t="n">
        <f aca="false">Algae_yield_cost_factor/AA49</f>
        <v>0.0474797185589141</v>
      </c>
      <c r="BT49" s="18" t="n">
        <f aca="false">Algae_yield_cost_factor/AB49</f>
        <v>0.0473126390911414</v>
      </c>
      <c r="BU49" s="18" t="n">
        <f aca="false">Algae_yield_cost_factor/AC49</f>
        <v>0.0472107156062339</v>
      </c>
    </row>
    <row r="50" customFormat="false" ht="15" hidden="false" customHeight="false" outlineLevel="0" collapsed="false">
      <c r="A50" s="18" t="s">
        <v>697</v>
      </c>
      <c r="B50" s="18" t="s">
        <v>22</v>
      </c>
      <c r="C50" s="18" t="s">
        <v>685</v>
      </c>
      <c r="D50" s="18" t="s">
        <v>685</v>
      </c>
      <c r="E50" s="185" t="n">
        <v>8.844</v>
      </c>
      <c r="F50" s="18" t="n">
        <f aca="false">E50/$B$2*$F$3/1000</f>
        <v>0.0216678</v>
      </c>
      <c r="G50" s="18" t="n">
        <f aca="false">LOOKUP(RIGHT(D50,5),Ref!$C$4:$C$21,Ref!$E$4:$E$21)*$G$3</f>
        <v>4</v>
      </c>
      <c r="H50" s="222" t="n">
        <f aca="false">$E50</f>
        <v>8.844</v>
      </c>
      <c r="I50" s="185" t="n">
        <f aca="false">$E50</f>
        <v>8.844</v>
      </c>
      <c r="J50" s="185" t="n">
        <f aca="false">$E50</f>
        <v>8.844</v>
      </c>
      <c r="K50" s="185" t="n">
        <f aca="false">$E50</f>
        <v>8.844</v>
      </c>
      <c r="L50" s="185" t="n">
        <f aca="false">$E50</f>
        <v>8.844</v>
      </c>
      <c r="M50" s="185" t="n">
        <f aca="false">M$3*$E50</f>
        <v>9.2634344223824</v>
      </c>
      <c r="N50" s="185" t="n">
        <f aca="false">N$3*$E50</f>
        <v>9.51488974410788</v>
      </c>
      <c r="O50" s="185" t="n">
        <f aca="false">O$3*$E50</f>
        <v>9.89823064236361</v>
      </c>
      <c r="P50" s="185" t="n">
        <f aca="false">P$3*$E50</f>
        <v>10.4573713325434</v>
      </c>
      <c r="Q50" s="185" t="n">
        <f aca="false">Q$3*$E50</f>
        <v>11.2225179305962</v>
      </c>
      <c r="R50" s="185" t="n">
        <f aca="false">R$3*$E50</f>
        <v>12.1829696748508</v>
      </c>
      <c r="S50" s="185" t="n">
        <f aca="false">S$3*$E50</f>
        <v>13.266</v>
      </c>
      <c r="T50" s="185" t="n">
        <f aca="false">T$3*$E50</f>
        <v>14.3490303251492</v>
      </c>
      <c r="U50" s="185" t="n">
        <f aca="false">U$3*$E50</f>
        <v>15.3094820694038</v>
      </c>
      <c r="V50" s="185" t="n">
        <f aca="false">V$3*$E50</f>
        <v>16.0746286674566</v>
      </c>
      <c r="W50" s="185" t="n">
        <f aca="false">W$3*$E50</f>
        <v>16.6337693576364</v>
      </c>
      <c r="X50" s="185" t="n">
        <f aca="false">X$3*$E50</f>
        <v>17.0171102558921</v>
      </c>
      <c r="Y50" s="185" t="n">
        <f aca="false">Y$3*$E50</f>
        <v>17.2685655776176</v>
      </c>
      <c r="Z50" s="185" t="n">
        <f aca="false">Z$3*$E50</f>
        <v>17.428762631235</v>
      </c>
      <c r="AA50" s="185" t="n">
        <f aca="false">AA$3*$E50</f>
        <v>17.5289299590953</v>
      </c>
      <c r="AB50" s="185" t="n">
        <f aca="false">AB$3*$E50</f>
        <v>17.590831479375</v>
      </c>
      <c r="AC50" s="185" t="n">
        <f aca="false">AC$3*$E50</f>
        <v>17.6288084264256</v>
      </c>
      <c r="AD50" s="219" t="n">
        <f aca="false">Algae_electricity_factor/H50</f>
        <v>0.00155400238619734</v>
      </c>
      <c r="AE50" s="220" t="n">
        <f aca="false">Algae_electricity_factor/I50</f>
        <v>0.00155400238619734</v>
      </c>
      <c r="AF50" s="220" t="n">
        <f aca="false">Algae_electricity_factor/J50</f>
        <v>0.00155400238619734</v>
      </c>
      <c r="AG50" s="220" t="n">
        <f aca="false">Algae_electricity_factor/K50</f>
        <v>0.00155400238619734</v>
      </c>
      <c r="AH50" s="220" t="n">
        <f aca="false">Algae_electricity_factor/L50</f>
        <v>0.00155400238619734</v>
      </c>
      <c r="AI50" s="220" t="n">
        <f aca="false">Algae_electricity_factor/M50</f>
        <v>0.0014836394879983</v>
      </c>
      <c r="AJ50" s="220" t="n">
        <f aca="false">Algae_electricity_factor/N50</f>
        <v>0.00144443051608034</v>
      </c>
      <c r="AK50" s="220" t="n">
        <f aca="false">Algae_electricity_factor/O50</f>
        <v>0.00138849028681023</v>
      </c>
      <c r="AL50" s="220" t="n">
        <f aca="false">Algae_electricity_factor/P50</f>
        <v>0.00131424969683912</v>
      </c>
      <c r="AM50" s="220" t="n">
        <f aca="false">Algae_electricity_factor/Q50</f>
        <v>0.00122464469992601</v>
      </c>
      <c r="AN50" s="220" t="n">
        <f aca="false">Algae_electricity_factor/R50</f>
        <v>0.00112809909819443</v>
      </c>
      <c r="AO50" s="220" t="n">
        <f aca="false">Algae_electricity_factor/S50</f>
        <v>0.00103600159079823</v>
      </c>
      <c r="AP50" s="220" t="n">
        <f aca="false">Algae_electricity_factor/T50</f>
        <v>0.000957806680458483</v>
      </c>
      <c r="AQ50" s="220" t="n">
        <f aca="false">Algae_electricity_factor/U50</f>
        <v>0.000897717965978487</v>
      </c>
      <c r="AR50" s="220" t="n">
        <f aca="false">Algae_electricity_factor/V50</f>
        <v>0.000854986910606119</v>
      </c>
      <c r="AS50" s="220" t="n">
        <f aca="false">Algae_electricity_factor/W50</f>
        <v>0.000826246703800766</v>
      </c>
      <c r="AT50" s="220" t="n">
        <f aca="false">Algae_electricity_factor/X50</f>
        <v>0.000807634016402437</v>
      </c>
      <c r="AU50" s="220" t="n">
        <f aca="false">Algae_electricity_factor/Y50</f>
        <v>0.000795873695574508</v>
      </c>
      <c r="AV50" s="220" t="n">
        <f aca="false">Algae_electricity_factor/Z50</f>
        <v>0.000788558395929877</v>
      </c>
      <c r="AW50" s="220" t="n">
        <f aca="false">Algae_electricity_factor/AA50</f>
        <v>0.000784052257359731</v>
      </c>
      <c r="AX50" s="220" t="n">
        <f aca="false">Algae_electricity_factor/AB50</f>
        <v>0.000781293204908671</v>
      </c>
      <c r="AY50" s="220" t="n">
        <f aca="false">Algae_electricity_factor/AC50</f>
        <v>0.000779610100188483</v>
      </c>
      <c r="AZ50" s="211" t="n">
        <f aca="false">Algae_yield_cost_factor/H50</f>
        <v>0.0860292423435343</v>
      </c>
      <c r="BA50" s="18" t="n">
        <f aca="false">Algae_yield_cost_factor/I50</f>
        <v>0.0860292423435343</v>
      </c>
      <c r="BB50" s="18" t="n">
        <f aca="false">Algae_yield_cost_factor/J50</f>
        <v>0.0860292423435343</v>
      </c>
      <c r="BC50" s="18" t="n">
        <f aca="false">Algae_yield_cost_factor/K50</f>
        <v>0.0860292423435343</v>
      </c>
      <c r="BD50" s="18" t="n">
        <f aca="false">Algae_yield_cost_factor/L50</f>
        <v>0.0860292423435343</v>
      </c>
      <c r="BE50" s="18" t="n">
        <f aca="false">Algae_yield_cost_factor/M50</f>
        <v>0.0821339672301088</v>
      </c>
      <c r="BF50" s="18" t="n">
        <f aca="false">Algae_yield_cost_factor/N50</f>
        <v>0.0799633668647996</v>
      </c>
      <c r="BG50" s="18" t="n">
        <f aca="false">Algae_yield_cost_factor/O50</f>
        <v>0.0768665276428167</v>
      </c>
      <c r="BH50" s="18" t="n">
        <f aca="false">Algae_yield_cost_factor/P50</f>
        <v>0.0727565843357279</v>
      </c>
      <c r="BI50" s="18" t="n">
        <f aca="false">Algae_yield_cost_factor/Q50</f>
        <v>0.0677960707206279</v>
      </c>
      <c r="BJ50" s="18" t="n">
        <f aca="false">Algae_yield_cost_factor/R50</f>
        <v>0.0624513266955608</v>
      </c>
      <c r="BK50" s="18" t="n">
        <f aca="false">Algae_yield_cost_factor/S50</f>
        <v>0.0573528282290229</v>
      </c>
      <c r="BL50" s="18" t="n">
        <f aca="false">Algae_yield_cost_factor/T50</f>
        <v>0.053023974585426</v>
      </c>
      <c r="BM50" s="18" t="n">
        <f aca="false">Algae_yield_cost_factor/U50</f>
        <v>0.0496974761025243</v>
      </c>
      <c r="BN50" s="18" t="n">
        <f aca="false">Algae_yield_cost_factor/V50</f>
        <v>0.0473318939445587</v>
      </c>
      <c r="BO50" s="18" t="n">
        <f aca="false">Algae_yield_cost_factor/W50</f>
        <v>0.0457408421944316</v>
      </c>
      <c r="BP50" s="18" t="n">
        <f aca="false">Algae_yield_cost_factor/X50</f>
        <v>0.0447104477696369</v>
      </c>
      <c r="BQ50" s="18" t="n">
        <f aca="false">Algae_yield_cost_factor/Y50</f>
        <v>0.0440593989041205</v>
      </c>
      <c r="BR50" s="18" t="n">
        <f aca="false">Algae_yield_cost_factor/Z50</f>
        <v>0.0436544254680864</v>
      </c>
      <c r="BS50" s="18" t="n">
        <f aca="false">Algae_yield_cost_factor/AA50</f>
        <v>0.0434049665930371</v>
      </c>
      <c r="BT50" s="18" t="n">
        <f aca="false">Algae_yield_cost_factor/AB50</f>
        <v>0.0432522260348121</v>
      </c>
      <c r="BU50" s="18" t="n">
        <f aca="false">Algae_yield_cost_factor/AC50</f>
        <v>0.0431590497146542</v>
      </c>
    </row>
    <row r="51" customFormat="false" ht="15" hidden="false" customHeight="false" outlineLevel="0" collapsed="false">
      <c r="A51" s="18" t="s">
        <v>697</v>
      </c>
      <c r="B51" s="18" t="s">
        <v>22</v>
      </c>
      <c r="C51" s="18" t="s">
        <v>686</v>
      </c>
      <c r="D51" s="18" t="s">
        <v>686</v>
      </c>
      <c r="E51" s="185" t="n">
        <v>7.53225</v>
      </c>
      <c r="F51" s="18" t="n">
        <f aca="false">E51/$B$2*$F$3/1000</f>
        <v>0.0184540125</v>
      </c>
      <c r="G51" s="18" t="n">
        <f aca="false">LOOKUP(RIGHT(D51,5),Ref!$C$4:$C$21,Ref!$E$4:$E$21)*$G$3</f>
        <v>4.5</v>
      </c>
      <c r="H51" s="222" t="n">
        <f aca="false">$E51</f>
        <v>7.53225</v>
      </c>
      <c r="I51" s="185" t="n">
        <f aca="false">$E51</f>
        <v>7.53225</v>
      </c>
      <c r="J51" s="185" t="n">
        <f aca="false">$E51</f>
        <v>7.53225</v>
      </c>
      <c r="K51" s="185" t="n">
        <f aca="false">$E51</f>
        <v>7.53225</v>
      </c>
      <c r="L51" s="185" t="n">
        <f aca="false">$E51</f>
        <v>7.53225</v>
      </c>
      <c r="M51" s="185" t="n">
        <f aca="false">M$3*$E51</f>
        <v>7.88947353324173</v>
      </c>
      <c r="N51" s="185" t="n">
        <f aca="false">N$3*$E51</f>
        <v>8.10363277646501</v>
      </c>
      <c r="O51" s="185" t="n">
        <f aca="false">O$3*$E51</f>
        <v>8.4301162094011</v>
      </c>
      <c r="P51" s="185" t="n">
        <f aca="false">P$3*$E51</f>
        <v>8.90632465169043</v>
      </c>
      <c r="Q51" s="185" t="n">
        <f aca="false">Q$3*$E51</f>
        <v>9.55798402111415</v>
      </c>
      <c r="R51" s="185" t="n">
        <f aca="false">R$3*$E51</f>
        <v>10.3759807025548</v>
      </c>
      <c r="S51" s="185" t="n">
        <f aca="false">S$3*$E51</f>
        <v>11.298375</v>
      </c>
      <c r="T51" s="185" t="n">
        <f aca="false">T$3*$E51</f>
        <v>12.2207692974452</v>
      </c>
      <c r="U51" s="185" t="n">
        <f aca="false">U$3*$E51</f>
        <v>13.0387659788859</v>
      </c>
      <c r="V51" s="185" t="n">
        <f aca="false">V$3*$E51</f>
        <v>13.6904253483096</v>
      </c>
      <c r="W51" s="185" t="n">
        <f aca="false">W$3*$E51</f>
        <v>14.1666337905989</v>
      </c>
      <c r="X51" s="185" t="n">
        <f aca="false">X$3*$E51</f>
        <v>14.493117223535</v>
      </c>
      <c r="Y51" s="185" t="n">
        <f aca="false">Y$3*$E51</f>
        <v>14.7072764667583</v>
      </c>
      <c r="Z51" s="185" t="n">
        <f aca="false">Z$3*$E51</f>
        <v>14.8437129499231</v>
      </c>
      <c r="AA51" s="185" t="n">
        <f aca="false">AA$3*$E51</f>
        <v>14.929023370013</v>
      </c>
      <c r="AB51" s="185" t="n">
        <f aca="false">AB$3*$E51</f>
        <v>14.9817436013707</v>
      </c>
      <c r="AC51" s="185" t="n">
        <f aca="false">AC$3*$E51</f>
        <v>15.0140877736256</v>
      </c>
      <c r="AD51" s="219" t="n">
        <f aca="false">Algae_electricity_factor/H51</f>
        <v>0.00182463368894145</v>
      </c>
      <c r="AE51" s="220" t="n">
        <f aca="false">Algae_electricity_factor/I51</f>
        <v>0.00182463368894145</v>
      </c>
      <c r="AF51" s="220" t="n">
        <f aca="false">Algae_electricity_factor/J51</f>
        <v>0.00182463368894145</v>
      </c>
      <c r="AG51" s="220" t="n">
        <f aca="false">Algae_electricity_factor/K51</f>
        <v>0.00182463368894145</v>
      </c>
      <c r="AH51" s="220" t="n">
        <f aca="false">Algae_electricity_factor/L51</f>
        <v>0.00182463368894145</v>
      </c>
      <c r="AI51" s="220" t="n">
        <f aca="false">Algae_electricity_factor/M51</f>
        <v>0.00174201701109987</v>
      </c>
      <c r="AJ51" s="220" t="n">
        <f aca="false">Algae_electricity_factor/N51</f>
        <v>0.00169597975162993</v>
      </c>
      <c r="AK51" s="220" t="n">
        <f aca="false">Algae_electricity_factor/O51</f>
        <v>0.0016302974670981</v>
      </c>
      <c r="AL51" s="220" t="n">
        <f aca="false">Algae_electricity_factor/P51</f>
        <v>0.00154312779300278</v>
      </c>
      <c r="AM51" s="220" t="n">
        <f aca="false">Algae_electricity_factor/Q51</f>
        <v>0.00143791798282659</v>
      </c>
      <c r="AN51" s="220" t="n">
        <f aca="false">Algae_electricity_factor/R51</f>
        <v>0.00132455885352073</v>
      </c>
      <c r="AO51" s="220" t="n">
        <f aca="false">Algae_electricity_factor/S51</f>
        <v>0.0012164224592943</v>
      </c>
      <c r="AP51" s="220" t="n">
        <f aca="false">Algae_electricity_factor/T51</f>
        <v>0.00112460981539046</v>
      </c>
      <c r="AQ51" s="220" t="n">
        <f aca="false">Algae_electricity_factor/U51</f>
        <v>0.00105405658217846</v>
      </c>
      <c r="AR51" s="220" t="n">
        <f aca="false">Algae_electricity_factor/V51</f>
        <v>0.00100388386436994</v>
      </c>
      <c r="AS51" s="220" t="n">
        <f aca="false">Algae_electricity_factor/W51</f>
        <v>0.000970138517496628</v>
      </c>
      <c r="AT51" s="220" t="n">
        <f aca="false">Algae_electricity_factor/X51</f>
        <v>0.00094828440918227</v>
      </c>
      <c r="AU51" s="220" t="n">
        <f aca="false">Algae_electricity_factor/Y51</f>
        <v>0.000934476014957144</v>
      </c>
      <c r="AV51" s="220" t="n">
        <f aca="false">Algae_electricity_factor/Z51</f>
        <v>0.000925886747466405</v>
      </c>
      <c r="AW51" s="220" t="n">
        <f aca="false">Algae_electricity_factor/AA51</f>
        <v>0.000920595859681963</v>
      </c>
      <c r="AX51" s="220" t="n">
        <f aca="false">Algae_electricity_factor/AB51</f>
        <v>0.000917356315073489</v>
      </c>
      <c r="AY51" s="220" t="n">
        <f aca="false">Algae_electricity_factor/AC51</f>
        <v>0.000915380095730618</v>
      </c>
      <c r="AZ51" s="211" t="n">
        <f aca="false">Algae_yield_cost_factor/H51</f>
        <v>0.101011333836001</v>
      </c>
      <c r="BA51" s="18" t="n">
        <f aca="false">Algae_yield_cost_factor/I51</f>
        <v>0.101011333836001</v>
      </c>
      <c r="BB51" s="18" t="n">
        <f aca="false">Algae_yield_cost_factor/J51</f>
        <v>0.101011333836001</v>
      </c>
      <c r="BC51" s="18" t="n">
        <f aca="false">Algae_yield_cost_factor/K51</f>
        <v>0.101011333836001</v>
      </c>
      <c r="BD51" s="18" t="n">
        <f aca="false">Algae_yield_cost_factor/L51</f>
        <v>0.101011333836001</v>
      </c>
      <c r="BE51" s="18" t="n">
        <f aca="false">Algae_yield_cost_factor/M51</f>
        <v>0.0964376920817926</v>
      </c>
      <c r="BF51" s="18" t="n">
        <f aca="false">Algae_yield_cost_factor/N51</f>
        <v>0.0938890791665556</v>
      </c>
      <c r="BG51" s="18" t="n">
        <f aca="false">Algae_yield_cost_factor/O51</f>
        <v>0.0902529218325296</v>
      </c>
      <c r="BH51" s="18" t="n">
        <f aca="false">Algae_yield_cost_factor/P51</f>
        <v>0.0854272271718513</v>
      </c>
      <c r="BI51" s="18" t="n">
        <f aca="false">Algae_yield_cost_factor/Q51</f>
        <v>0.0796028344058195</v>
      </c>
      <c r="BJ51" s="18" t="n">
        <f aca="false">Algae_yield_cost_factor/R51</f>
        <v>0.0733272970620386</v>
      </c>
      <c r="BK51" s="18" t="n">
        <f aca="false">Algae_yield_cost_factor/S51</f>
        <v>0.0673408892240006</v>
      </c>
      <c r="BL51" s="18" t="n">
        <f aca="false">Algae_yield_cost_factor/T51</f>
        <v>0.0622581607399525</v>
      </c>
      <c r="BM51" s="18" t="n">
        <f aca="false">Algae_yield_cost_factor/U51</f>
        <v>0.0583523487205981</v>
      </c>
      <c r="BN51" s="18" t="n">
        <f aca="false">Algae_yield_cost_factor/V51</f>
        <v>0.0555747977092737</v>
      </c>
      <c r="BO51" s="18" t="n">
        <f aca="false">Algae_yield_cost_factor/W51</f>
        <v>0.0537066624670653</v>
      </c>
      <c r="BP51" s="18" t="n">
        <f aca="false">Algae_yield_cost_factor/X51</f>
        <v>0.0524968236681827</v>
      </c>
      <c r="BQ51" s="18" t="n">
        <f aca="false">Algae_yield_cost_factor/Y51</f>
        <v>0.0517323938939947</v>
      </c>
      <c r="BR51" s="18" t="n">
        <f aca="false">Algae_yield_cost_factor/Z51</f>
        <v>0.0512568938683336</v>
      </c>
      <c r="BS51" s="18" t="n">
        <f aca="false">Algae_yield_cost_factor/AA51</f>
        <v>0.0509639914433032</v>
      </c>
      <c r="BT51" s="18" t="n">
        <f aca="false">Algae_yield_cost_factor/AB51</f>
        <v>0.0507846509412033</v>
      </c>
      <c r="BU51" s="18" t="n">
        <f aca="false">Algae_yield_cost_factor/AC51</f>
        <v>0.0506752478577319</v>
      </c>
    </row>
    <row r="52" customFormat="false" ht="15" hidden="false" customHeight="false" outlineLevel="0" collapsed="false">
      <c r="A52" s="18" t="s">
        <v>699</v>
      </c>
      <c r="B52" s="18" t="s">
        <v>22</v>
      </c>
      <c r="C52" s="18" t="s">
        <v>690</v>
      </c>
      <c r="D52" s="18" t="s">
        <v>690</v>
      </c>
      <c r="E52" s="185" t="n">
        <v>8.6955</v>
      </c>
      <c r="F52" s="18" t="n">
        <f aca="false">E52/$B$2*$F$3/1000</f>
        <v>0.021303975</v>
      </c>
      <c r="G52" s="18" t="n">
        <f aca="false">LOOKUP(RIGHT(D52,5),Ref!$C$4:$C$21,Ref!$E$4:$E$21)*$G$3</f>
        <v>1.5</v>
      </c>
      <c r="H52" s="222" t="n">
        <f aca="false">$E52</f>
        <v>8.6955</v>
      </c>
      <c r="I52" s="185" t="n">
        <f aca="false">$E52</f>
        <v>8.6955</v>
      </c>
      <c r="J52" s="185" t="n">
        <f aca="false">$E52</f>
        <v>8.6955</v>
      </c>
      <c r="K52" s="185" t="n">
        <f aca="false">$E52</f>
        <v>8.6955</v>
      </c>
      <c r="L52" s="185" t="n">
        <f aca="false">$E52</f>
        <v>8.6955</v>
      </c>
      <c r="M52" s="185" t="n">
        <f aca="false">M$3*$E52</f>
        <v>9.10789168021553</v>
      </c>
      <c r="N52" s="185" t="n">
        <f aca="false">N$3*$E52</f>
        <v>9.35512480437472</v>
      </c>
      <c r="O52" s="185" t="n">
        <f aca="false">O$3*$E52</f>
        <v>9.73202900844333</v>
      </c>
      <c r="P52" s="185" t="n">
        <f aca="false">P$3*$E52</f>
        <v>10.2817811422582</v>
      </c>
      <c r="Q52" s="185" t="n">
        <f aca="false">Q$3*$E52</f>
        <v>11.0340801295228</v>
      </c>
      <c r="R52" s="185" t="n">
        <f aca="false">R$3*$E52</f>
        <v>11.9784048855343</v>
      </c>
      <c r="S52" s="185" t="n">
        <f aca="false">S$3*$E52</f>
        <v>13.04325</v>
      </c>
      <c r="T52" s="185" t="n">
        <f aca="false">T$3*$E52</f>
        <v>14.1080951144657</v>
      </c>
      <c r="U52" s="185" t="n">
        <f aca="false">U$3*$E52</f>
        <v>15.0524198704772</v>
      </c>
      <c r="V52" s="185" t="n">
        <f aca="false">V$3*$E52</f>
        <v>15.8047188577418</v>
      </c>
      <c r="W52" s="185" t="n">
        <f aca="false">W$3*$E52</f>
        <v>16.3544709915567</v>
      </c>
      <c r="X52" s="185" t="n">
        <f aca="false">X$3*$E52</f>
        <v>16.7313751956253</v>
      </c>
      <c r="Y52" s="185" t="n">
        <f aca="false">Y$3*$E52</f>
        <v>16.9786083197845</v>
      </c>
      <c r="Z52" s="185" t="n">
        <f aca="false">Z$3*$E52</f>
        <v>17.1361154975016</v>
      </c>
      <c r="AA52" s="185" t="n">
        <f aca="false">AA$3*$E52</f>
        <v>17.2346009112746</v>
      </c>
      <c r="AB52" s="185" t="n">
        <f aca="false">AB$3*$E52</f>
        <v>17.2954630403557</v>
      </c>
      <c r="AC52" s="185" t="n">
        <f aca="false">AC$3*$E52</f>
        <v>17.3328023147879</v>
      </c>
      <c r="AD52" s="219" t="n">
        <f aca="false">Algae_electricity_factor/H52</f>
        <v>0.00158054132637908</v>
      </c>
      <c r="AE52" s="220" t="n">
        <f aca="false">Algae_electricity_factor/I52</f>
        <v>0.00158054132637908</v>
      </c>
      <c r="AF52" s="220" t="n">
        <f aca="false">Algae_electricity_factor/J52</f>
        <v>0.00158054132637908</v>
      </c>
      <c r="AG52" s="220" t="n">
        <f aca="false">Algae_electricity_factor/K52</f>
        <v>0.00158054132637908</v>
      </c>
      <c r="AH52" s="220" t="n">
        <f aca="false">Algae_electricity_factor/L52</f>
        <v>0.00158054132637908</v>
      </c>
      <c r="AI52" s="220" t="n">
        <f aca="false">Algae_electricity_factor/M52</f>
        <v>0.00150897678475729</v>
      </c>
      <c r="AJ52" s="220" t="n">
        <f aca="false">Algae_electricity_factor/N52</f>
        <v>0.00146909820990334</v>
      </c>
      <c r="AK52" s="220" t="n">
        <f aca="false">Algae_electricity_factor/O52</f>
        <v>0.00141220264464949</v>
      </c>
      <c r="AL52" s="220" t="n">
        <f aca="false">Algae_electricity_factor/P52</f>
        <v>0.0013366941888155</v>
      </c>
      <c r="AM52" s="220" t="n">
        <f aca="false">Algae_electricity_factor/Q52</f>
        <v>0.00124555893578812</v>
      </c>
      <c r="AN52" s="220" t="n">
        <f aca="false">Algae_electricity_factor/R52</f>
        <v>0.00114736454768921</v>
      </c>
      <c r="AO52" s="220" t="n">
        <f aca="false">Algae_electricity_factor/S52</f>
        <v>0.00105369421758605</v>
      </c>
      <c r="AP52" s="220" t="n">
        <f aca="false">Algae_electricity_factor/T52</f>
        <v>0.000974163910295535</v>
      </c>
      <c r="AQ52" s="220" t="n">
        <f aca="false">Algae_electricity_factor/U52</f>
        <v>0.000913049012835804</v>
      </c>
      <c r="AR52" s="220" t="n">
        <f aca="false">Algae_electricity_factor/V52</f>
        <v>0.000869588205094648</v>
      </c>
      <c r="AS52" s="220" t="n">
        <f aca="false">Algae_electricity_factor/W52</f>
        <v>0.000840357178818237</v>
      </c>
      <c r="AT52" s="220" t="n">
        <f aca="false">Algae_electricity_factor/X52</f>
        <v>0.000821426627688247</v>
      </c>
      <c r="AU52" s="220" t="n">
        <f aca="false">Algae_electricity_factor/Y52</f>
        <v>0.000809465466466672</v>
      </c>
      <c r="AV52" s="220" t="n">
        <f aca="false">Algae_electricity_factor/Z52</f>
        <v>0.000802025237606099</v>
      </c>
      <c r="AW52" s="220" t="n">
        <f aca="false">Algae_electricity_factor/AA52</f>
        <v>0.00079744214410781</v>
      </c>
      <c r="AX52" s="220" t="n">
        <f aca="false">Algae_electricity_factor/AB52</f>
        <v>0.000794635973113942</v>
      </c>
      <c r="AY52" s="220" t="n">
        <f aca="false">Algae_electricity_factor/AC52</f>
        <v>0.00079292412466988</v>
      </c>
      <c r="AZ52" s="211" t="n">
        <f aca="false">Algae_yield_cost_factor/H52</f>
        <v>0.0874984324404828</v>
      </c>
      <c r="BA52" s="18" t="n">
        <f aca="false">Algae_yield_cost_factor/I52</f>
        <v>0.0874984324404828</v>
      </c>
      <c r="BB52" s="18" t="n">
        <f aca="false">Algae_yield_cost_factor/J52</f>
        <v>0.0874984324404828</v>
      </c>
      <c r="BC52" s="18" t="n">
        <f aca="false">Algae_yield_cost_factor/K52</f>
        <v>0.0874984324404828</v>
      </c>
      <c r="BD52" s="18" t="n">
        <f aca="false">Algae_yield_cost_factor/L52</f>
        <v>0.0874984324404828</v>
      </c>
      <c r="BE52" s="18" t="n">
        <f aca="false">Algae_yield_cost_factor/M52</f>
        <v>0.08353663460216</v>
      </c>
      <c r="BF52" s="18" t="n">
        <f aca="false">Algae_yield_cost_factor/N52</f>
        <v>0.0813289651604034</v>
      </c>
      <c r="BG52" s="18" t="n">
        <f aca="false">Algae_yield_cost_factor/O52</f>
        <v>0.0781792387410811</v>
      </c>
      <c r="BH52" s="18" t="n">
        <f aca="false">Algae_yield_cost_factor/P52</f>
        <v>0.0739991066488617</v>
      </c>
      <c r="BI52" s="18" t="n">
        <f aca="false">Algae_yield_cost_factor/Q52</f>
        <v>0.0689538783799935</v>
      </c>
      <c r="BJ52" s="18" t="n">
        <f aca="false">Algae_yield_cost_factor/R52</f>
        <v>0.0635178578915002</v>
      </c>
      <c r="BK52" s="18" t="n">
        <f aca="false">Algae_yield_cost_factor/S52</f>
        <v>0.0583322882936552</v>
      </c>
      <c r="BL52" s="18" t="n">
        <f aca="false">Algae_yield_cost_factor/T52</f>
        <v>0.0539295073582321</v>
      </c>
      <c r="BM52" s="18" t="n">
        <f aca="false">Algae_yield_cost_factor/U52</f>
        <v>0.0505461996033264</v>
      </c>
      <c r="BN52" s="18" t="n">
        <f aca="false">Algae_yield_cost_factor/V52</f>
        <v>0.0481402185090768</v>
      </c>
      <c r="BO52" s="18" t="n">
        <f aca="false">Algae_yield_cost_factor/W52</f>
        <v>0.0465219950971828</v>
      </c>
      <c r="BP52" s="18" t="n">
        <f aca="false">Algae_yield_cost_factor/X52</f>
        <v>0.0454740038036535</v>
      </c>
      <c r="BQ52" s="18" t="n">
        <f aca="false">Algae_yield_cost_factor/Y52</f>
        <v>0.0448118364565628</v>
      </c>
      <c r="BR52" s="18" t="n">
        <f aca="false">Algae_yield_cost_factor/Z52</f>
        <v>0.0443999469656438</v>
      </c>
      <c r="BS52" s="18" t="n">
        <f aca="false">Algae_yield_cost_factor/AA52</f>
        <v>0.0441462278821023</v>
      </c>
      <c r="BT52" s="18" t="n">
        <f aca="false">Algae_yield_cost_factor/AB52</f>
        <v>0.0439908788513459</v>
      </c>
      <c r="BU52" s="18" t="n">
        <f aca="false">Algae_yield_cost_factor/AC52</f>
        <v>0.0438961112847336</v>
      </c>
    </row>
    <row r="53" customFormat="false" ht="15" hidden="false" customHeight="false" outlineLevel="0" collapsed="false">
      <c r="A53" s="18" t="s">
        <v>699</v>
      </c>
      <c r="B53" s="18" t="s">
        <v>22</v>
      </c>
      <c r="C53" s="18" t="s">
        <v>691</v>
      </c>
      <c r="D53" s="18" t="s">
        <v>691</v>
      </c>
      <c r="E53" s="185" t="n">
        <v>8.45625</v>
      </c>
      <c r="F53" s="18" t="n">
        <f aca="false">E53/$B$2*$F$3/1000</f>
        <v>0.0207178125</v>
      </c>
      <c r="G53" s="18" t="n">
        <f aca="false">LOOKUP(RIGHT(D53,5),Ref!$C$4:$C$21,Ref!$E$4:$E$21)*$G$3</f>
        <v>2</v>
      </c>
      <c r="H53" s="222" t="n">
        <f aca="false">$E53</f>
        <v>8.45625</v>
      </c>
      <c r="I53" s="185" t="n">
        <f aca="false">$E53</f>
        <v>8.45625</v>
      </c>
      <c r="J53" s="185" t="n">
        <f aca="false">$E53</f>
        <v>8.45625</v>
      </c>
      <c r="K53" s="185" t="n">
        <f aca="false">$E53</f>
        <v>8.45625</v>
      </c>
      <c r="L53" s="185" t="n">
        <f aca="false">$E53</f>
        <v>8.45625</v>
      </c>
      <c r="M53" s="185" t="n">
        <f aca="false">M$3*$E53</f>
        <v>8.8572950400578</v>
      </c>
      <c r="N53" s="185" t="n">
        <f aca="false">N$3*$E53</f>
        <v>9.09772573480464</v>
      </c>
      <c r="O53" s="185" t="n">
        <f aca="false">O$3*$E53</f>
        <v>9.46425970934953</v>
      </c>
      <c r="P53" s="185" t="n">
        <f aca="false">P$3*$E53</f>
        <v>9.9988858356875</v>
      </c>
      <c r="Q53" s="185" t="n">
        <f aca="false">Q$3*$E53</f>
        <v>10.73048589446</v>
      </c>
      <c r="R53" s="185" t="n">
        <f aca="false">R$3*$E53</f>
        <v>11.6488282805243</v>
      </c>
      <c r="S53" s="185" t="n">
        <f aca="false">S$3*$E53</f>
        <v>12.684375</v>
      </c>
      <c r="T53" s="185" t="n">
        <f aca="false">T$3*$E53</f>
        <v>13.7199217194757</v>
      </c>
      <c r="U53" s="185" t="n">
        <f aca="false">U$3*$E53</f>
        <v>14.63826410554</v>
      </c>
      <c r="V53" s="185" t="n">
        <f aca="false">V$3*$E53</f>
        <v>15.3698641643125</v>
      </c>
      <c r="W53" s="185" t="n">
        <f aca="false">W$3*$E53</f>
        <v>15.9044902906505</v>
      </c>
      <c r="X53" s="185" t="n">
        <f aca="false">X$3*$E53</f>
        <v>16.2710242651954</v>
      </c>
      <c r="Y53" s="185" t="n">
        <f aca="false">Y$3*$E53</f>
        <v>16.5114549599422</v>
      </c>
      <c r="Z53" s="185" t="n">
        <f aca="false">Z$3*$E53</f>
        <v>16.6646284487088</v>
      </c>
      <c r="AA53" s="185" t="n">
        <f aca="false">AA$3*$E53</f>
        <v>16.7604041120081</v>
      </c>
      <c r="AB53" s="185" t="n">
        <f aca="false">AB$3*$E53</f>
        <v>16.81959166638</v>
      </c>
      <c r="AC53" s="185" t="n">
        <f aca="false">AC$3*$E53</f>
        <v>16.8559035793715</v>
      </c>
      <c r="AD53" s="219" t="n">
        <f aca="false">Algae_electricity_factor/H53</f>
        <v>0.00162525908097907</v>
      </c>
      <c r="AE53" s="220" t="n">
        <f aca="false">Algae_electricity_factor/I53</f>
        <v>0.00162525908097907</v>
      </c>
      <c r="AF53" s="220" t="n">
        <f aca="false">Algae_electricity_factor/J53</f>
        <v>0.00162525908097907</v>
      </c>
      <c r="AG53" s="220" t="n">
        <f aca="false">Algae_electricity_factor/K53</f>
        <v>0.00162525908097907</v>
      </c>
      <c r="AH53" s="220" t="n">
        <f aca="false">Algae_electricity_factor/L53</f>
        <v>0.00162525908097907</v>
      </c>
      <c r="AI53" s="220" t="n">
        <f aca="false">Algae_electricity_factor/M53</f>
        <v>0.00155166978647237</v>
      </c>
      <c r="AJ53" s="220" t="n">
        <f aca="false">Algae_electricity_factor/N53</f>
        <v>0.00151066293974451</v>
      </c>
      <c r="AK53" s="220" t="n">
        <f aca="false">Algae_electricity_factor/O53</f>
        <v>0.00145215764630299</v>
      </c>
      <c r="AL53" s="220" t="n">
        <f aca="false">Algae_electricity_factor/P53</f>
        <v>0.00137451285366979</v>
      </c>
      <c r="AM53" s="220" t="n">
        <f aca="false">Algae_electricity_factor/Q53</f>
        <v>0.00128079913982505</v>
      </c>
      <c r="AN53" s="220" t="n">
        <f aca="false">Algae_electricity_factor/R53</f>
        <v>0.00117982656903847</v>
      </c>
      <c r="AO53" s="220" t="n">
        <f aca="false">Algae_electricity_factor/S53</f>
        <v>0.00108350605398605</v>
      </c>
      <c r="AP53" s="220" t="n">
        <f aca="false">Algae_electricity_factor/T53</f>
        <v>0.00100172562092829</v>
      </c>
      <c r="AQ53" s="220" t="n">
        <f aca="false">Algae_electricity_factor/U53</f>
        <v>0.000938881619052622</v>
      </c>
      <c r="AR53" s="220" t="n">
        <f aca="false">Algae_electricity_factor/V53</f>
        <v>0.000894191188458302</v>
      </c>
      <c r="AS53" s="220" t="n">
        <f aca="false">Algae_electricity_factor/W53</f>
        <v>0.000864133138023826</v>
      </c>
      <c r="AT53" s="220" t="n">
        <f aca="false">Algae_electricity_factor/X53</f>
        <v>0.000844666990813086</v>
      </c>
      <c r="AU53" s="220" t="n">
        <f aca="false">Algae_electricity_factor/Y53</f>
        <v>0.000832367416249632</v>
      </c>
      <c r="AV53" s="220" t="n">
        <f aca="false">Algae_electricity_factor/Z53</f>
        <v>0.000824716683353003</v>
      </c>
      <c r="AW53" s="220" t="n">
        <f aca="false">Algae_electricity_factor/AA53</f>
        <v>0.000820003921843543</v>
      </c>
      <c r="AX53" s="220" t="n">
        <f aca="false">Algae_electricity_factor/AB53</f>
        <v>0.000817118356743508</v>
      </c>
      <c r="AY53" s="220" t="n">
        <f aca="false">Algae_electricity_factor/AC53</f>
        <v>0.000815358075514199</v>
      </c>
      <c r="AZ53" s="211" t="n">
        <f aca="false">Algae_yield_cost_factor/H53</f>
        <v>0.0899739978461159</v>
      </c>
      <c r="BA53" s="18" t="n">
        <f aca="false">Algae_yield_cost_factor/I53</f>
        <v>0.0899739978461159</v>
      </c>
      <c r="BB53" s="18" t="n">
        <f aca="false">Algae_yield_cost_factor/J53</f>
        <v>0.0899739978461159</v>
      </c>
      <c r="BC53" s="18" t="n">
        <f aca="false">Algae_yield_cost_factor/K53</f>
        <v>0.0899739978461159</v>
      </c>
      <c r="BD53" s="18" t="n">
        <f aca="false">Algae_yield_cost_factor/L53</f>
        <v>0.0899739978461159</v>
      </c>
      <c r="BE53" s="18" t="n">
        <f aca="false">Algae_yield_cost_factor/M53</f>
        <v>0.0859001101177333</v>
      </c>
      <c r="BF53" s="18" t="n">
        <f aca="false">Algae_yield_cost_factor/N53</f>
        <v>0.0836299797844539</v>
      </c>
      <c r="BG53" s="18" t="n">
        <f aca="false">Algae_yield_cost_factor/O53</f>
        <v>0.0803911391542435</v>
      </c>
      <c r="BH53" s="18" t="n">
        <f aca="false">Algae_yield_cost_factor/P53</f>
        <v>0.0760927399101466</v>
      </c>
      <c r="BI53" s="18" t="n">
        <f aca="false">Algae_yield_cost_factor/Q53</f>
        <v>0.0709047685975738</v>
      </c>
      <c r="BJ53" s="18" t="n">
        <f aca="false">Algae_yield_cost_factor/R53</f>
        <v>0.0653149485050158</v>
      </c>
      <c r="BK53" s="18" t="n">
        <f aca="false">Algae_yield_cost_factor/S53</f>
        <v>0.0599826652307439</v>
      </c>
      <c r="BL53" s="18" t="n">
        <f aca="false">Algae_yield_cost_factor/T53</f>
        <v>0.0554553178103187</v>
      </c>
      <c r="BM53" s="18" t="n">
        <f aca="false">Algae_yield_cost_factor/U53</f>
        <v>0.0519762872018596</v>
      </c>
      <c r="BN53" s="18" t="n">
        <f aca="false">Algae_yield_cost_factor/V53</f>
        <v>0.0495022344473824</v>
      </c>
      <c r="BO53" s="18" t="n">
        <f aca="false">Algae_yield_cost_factor/W53</f>
        <v>0.0478382271535909</v>
      </c>
      <c r="BP53" s="18" t="n">
        <f aca="false">Algae_yield_cost_factor/X53</f>
        <v>0.0467605853746837</v>
      </c>
      <c r="BQ53" s="18" t="n">
        <f aca="false">Algae_yield_cost_factor/Y53</f>
        <v>0.0460796835367972</v>
      </c>
      <c r="BR53" s="18" t="n">
        <f aca="false">Algae_yield_cost_factor/Z53</f>
        <v>0.0456561405871108</v>
      </c>
      <c r="BS53" s="18" t="n">
        <f aca="false">Algae_yield_cost_factor/AA53</f>
        <v>0.0453952431099862</v>
      </c>
      <c r="BT53" s="18" t="n">
        <f aca="false">Algae_yield_cost_factor/AB53</f>
        <v>0.0452354988383596</v>
      </c>
      <c r="BU53" s="18" t="n">
        <f aca="false">Algae_yield_cost_factor/AC53</f>
        <v>0.0451380500430334</v>
      </c>
    </row>
    <row r="54" customFormat="false" ht="15" hidden="false" customHeight="false" outlineLevel="0" collapsed="false">
      <c r="A54" s="18" t="s">
        <v>699</v>
      </c>
      <c r="B54" s="18" t="s">
        <v>22</v>
      </c>
      <c r="C54" s="18" t="s">
        <v>692</v>
      </c>
      <c r="D54" s="18" t="s">
        <v>692</v>
      </c>
      <c r="E54" s="185" t="n">
        <v>8.1015</v>
      </c>
      <c r="F54" s="18" t="n">
        <f aca="false">E54/$B$2*$F$3/1000</f>
        <v>0.019848675</v>
      </c>
      <c r="G54" s="18" t="n">
        <f aca="false">LOOKUP(RIGHT(D54,5),Ref!$C$4:$C$21,Ref!$E$4:$E$21)*$G$3</f>
        <v>2.5</v>
      </c>
      <c r="H54" s="222" t="n">
        <f aca="false">$E54</f>
        <v>8.1015</v>
      </c>
      <c r="I54" s="185" t="n">
        <f aca="false">$E54</f>
        <v>8.1015</v>
      </c>
      <c r="J54" s="185" t="n">
        <f aca="false">$E54</f>
        <v>8.1015</v>
      </c>
      <c r="K54" s="185" t="n">
        <f aca="false">$E54</f>
        <v>8.1015</v>
      </c>
      <c r="L54" s="185" t="n">
        <f aca="false">$E54</f>
        <v>8.1015</v>
      </c>
      <c r="M54" s="185" t="n">
        <f aca="false">M$3*$E54</f>
        <v>8.48572071154806</v>
      </c>
      <c r="N54" s="185" t="n">
        <f aca="false">N$3*$E54</f>
        <v>8.7160650454421</v>
      </c>
      <c r="O54" s="185" t="n">
        <f aca="false">O$3*$E54</f>
        <v>9.06722247276219</v>
      </c>
      <c r="P54" s="185" t="n">
        <f aca="false">P$3*$E54</f>
        <v>9.5794203811172</v>
      </c>
      <c r="Q54" s="185" t="n">
        <f aca="false">Q$3*$E54</f>
        <v>10.280328925229</v>
      </c>
      <c r="R54" s="185" t="n">
        <f aca="false">R$3*$E54</f>
        <v>11.1601457282682</v>
      </c>
      <c r="S54" s="185" t="n">
        <f aca="false">S$3*$E54</f>
        <v>12.15225</v>
      </c>
      <c r="T54" s="185" t="n">
        <f aca="false">T$3*$E54</f>
        <v>13.1443542717318</v>
      </c>
      <c r="U54" s="185" t="n">
        <f aca="false">U$3*$E54</f>
        <v>14.024171074771</v>
      </c>
      <c r="V54" s="185" t="n">
        <f aca="false">V$3*$E54</f>
        <v>14.7250796188828</v>
      </c>
      <c r="W54" s="185" t="n">
        <f aca="false">W$3*$E54</f>
        <v>15.2372775272378</v>
      </c>
      <c r="X54" s="185" t="n">
        <f aca="false">X$3*$E54</f>
        <v>15.5884349545579</v>
      </c>
      <c r="Y54" s="185" t="n">
        <f aca="false">Y$3*$E54</f>
        <v>15.8187792884519</v>
      </c>
      <c r="Z54" s="185" t="n">
        <f aca="false">Z$3*$E54</f>
        <v>15.9655269625679</v>
      </c>
      <c r="AA54" s="185" t="n">
        <f aca="false">AA$3*$E54</f>
        <v>16.0572847199921</v>
      </c>
      <c r="AB54" s="185" t="n">
        <f aca="false">AB$3*$E54</f>
        <v>16.1139892842783</v>
      </c>
      <c r="AC54" s="185" t="n">
        <f aca="false">AC$3*$E54</f>
        <v>16.1487778682369</v>
      </c>
      <c r="AD54" s="219" t="n">
        <f aca="false">Algae_electricity_factor/H54</f>
        <v>0.00169642623014618</v>
      </c>
      <c r="AE54" s="220" t="n">
        <f aca="false">Algae_electricity_factor/I54</f>
        <v>0.00169642623014618</v>
      </c>
      <c r="AF54" s="220" t="n">
        <f aca="false">Algae_electricity_factor/J54</f>
        <v>0.00169642623014618</v>
      </c>
      <c r="AG54" s="220" t="n">
        <f aca="false">Algae_electricity_factor/K54</f>
        <v>0.00169642623014618</v>
      </c>
      <c r="AH54" s="220" t="n">
        <f aca="false">Algae_electricity_factor/L54</f>
        <v>0.00169642623014618</v>
      </c>
      <c r="AI54" s="220" t="n">
        <f aca="false">Algae_electricity_factor/M54</f>
        <v>0.00161961459382299</v>
      </c>
      <c r="AJ54" s="220" t="n">
        <f aca="false">Algae_electricity_factor/N54</f>
        <v>0.00157681213160705</v>
      </c>
      <c r="AK54" s="220" t="n">
        <f aca="false">Algae_electricity_factor/O54</f>
        <v>0.00151574499741402</v>
      </c>
      <c r="AL54" s="220" t="n">
        <f aca="false">Algae_electricity_factor/P54</f>
        <v>0.00143470028005248</v>
      </c>
      <c r="AM54" s="220" t="n">
        <f aca="false">Algae_electricity_factor/Q54</f>
        <v>0.00133688301254652</v>
      </c>
      <c r="AN54" s="220" t="n">
        <f aca="false">Algae_electricity_factor/R54</f>
        <v>0.00123148903591082</v>
      </c>
      <c r="AO54" s="220" t="n">
        <f aca="false">Algae_electricity_factor/S54</f>
        <v>0.00113095082009745</v>
      </c>
      <c r="AP54" s="220" t="n">
        <f aca="false">Algae_electricity_factor/T54</f>
        <v>0.00104558937011354</v>
      </c>
      <c r="AQ54" s="220" t="n">
        <f aca="false">Algae_electricity_factor/U54</f>
        <v>0.000979993543308491</v>
      </c>
      <c r="AR54" s="220" t="n">
        <f aca="false">Algae_electricity_factor/V54</f>
        <v>0.000933346199765539</v>
      </c>
      <c r="AS54" s="220" t="n">
        <f aca="false">Algae_electricity_factor/W54</f>
        <v>0.00090197196178658</v>
      </c>
      <c r="AT54" s="220" t="n">
        <f aca="false">Algae_electricity_factor/X54</f>
        <v>0.000881653427274351</v>
      </c>
      <c r="AU54" s="220" t="n">
        <f aca="false">Algae_electricity_factor/Y54</f>
        <v>0.000868815276635308</v>
      </c>
      <c r="AV54" s="220" t="n">
        <f aca="false">Algae_electricity_factor/Z54</f>
        <v>0.000860829532013063</v>
      </c>
      <c r="AW54" s="220" t="n">
        <f aca="false">Algae_electricity_factor/AA54</f>
        <v>0.000855910407219584</v>
      </c>
      <c r="AX54" s="220" t="n">
        <f aca="false">Algae_electricity_factor/AB54</f>
        <v>0.000852898488454272</v>
      </c>
      <c r="AY54" s="220" t="n">
        <f aca="false">Algae_electricity_factor/AC54</f>
        <v>0.000851061127700666</v>
      </c>
      <c r="AZ54" s="211" t="n">
        <f aca="false">Algae_yield_cost_factor/H54</f>
        <v>0.0939137961224733</v>
      </c>
      <c r="BA54" s="18" t="n">
        <f aca="false">Algae_yield_cost_factor/I54</f>
        <v>0.0939137961224733</v>
      </c>
      <c r="BB54" s="18" t="n">
        <f aca="false">Algae_yield_cost_factor/J54</f>
        <v>0.0939137961224733</v>
      </c>
      <c r="BC54" s="18" t="n">
        <f aca="false">Algae_yield_cost_factor/K54</f>
        <v>0.0939137961224733</v>
      </c>
      <c r="BD54" s="18" t="n">
        <f aca="false">Algae_yield_cost_factor/L54</f>
        <v>0.0939137961224733</v>
      </c>
      <c r="BE54" s="18" t="n">
        <f aca="false">Algae_yield_cost_factor/M54</f>
        <v>0.0896615202349049</v>
      </c>
      <c r="BF54" s="18" t="n">
        <f aca="false">Algae_yield_cost_factor/N54</f>
        <v>0.0872919850092314</v>
      </c>
      <c r="BG54" s="18" t="n">
        <f aca="false">Algae_yield_cost_factor/O54</f>
        <v>0.0839113214186349</v>
      </c>
      <c r="BH54" s="18" t="n">
        <f aca="false">Algae_yield_cost_factor/P54</f>
        <v>0.0794247030630349</v>
      </c>
      <c r="BI54" s="18" t="n">
        <f aca="false">Algae_yield_cost_factor/Q54</f>
        <v>0.0740095598905429</v>
      </c>
      <c r="BJ54" s="18" t="n">
        <f aca="false">Algae_yield_cost_factor/R54</f>
        <v>0.0681749717083923</v>
      </c>
      <c r="BK54" s="18" t="n">
        <f aca="false">Algae_yield_cost_factor/S54</f>
        <v>0.0626091974149822</v>
      </c>
      <c r="BL54" s="18" t="n">
        <f aca="false">Algae_yield_cost_factor/T54</f>
        <v>0.05788360565741</v>
      </c>
      <c r="BM54" s="18" t="n">
        <f aca="false">Algae_yield_cost_factor/U54</f>
        <v>0.0542522346047923</v>
      </c>
      <c r="BN54" s="18" t="n">
        <f aca="false">Algae_yield_cost_factor/V54</f>
        <v>0.0516698475647321</v>
      </c>
      <c r="BO54" s="18" t="n">
        <f aca="false">Algae_yield_cost_factor/W54</f>
        <v>0.0499329764077705</v>
      </c>
      <c r="BP54" s="18" t="n">
        <f aca="false">Algae_yield_cost_factor/X54</f>
        <v>0.0488081466487279</v>
      </c>
      <c r="BQ54" s="18" t="n">
        <f aca="false">Algae_yield_cost_factor/Y54</f>
        <v>0.0480974293535816</v>
      </c>
      <c r="BR54" s="18" t="n">
        <f aca="false">Algae_yield_cost_factor/Z54</f>
        <v>0.047655340225854</v>
      </c>
      <c r="BS54" s="18" t="n">
        <f aca="false">Algae_yield_cost_factor/AA54</f>
        <v>0.0473830185211159</v>
      </c>
      <c r="BT54" s="18" t="n">
        <f aca="false">Algae_yield_cost_factor/AB54</f>
        <v>0.0472162793373917</v>
      </c>
      <c r="BU54" s="18" t="n">
        <f aca="false">Algae_yield_cost_factor/AC54</f>
        <v>0.0471145634359565</v>
      </c>
    </row>
    <row r="55" customFormat="false" ht="15" hidden="false" customHeight="false" outlineLevel="0" collapsed="false">
      <c r="A55" s="18" t="s">
        <v>699</v>
      </c>
      <c r="B55" s="18" t="s">
        <v>22</v>
      </c>
      <c r="C55" s="18" t="s">
        <v>693</v>
      </c>
      <c r="D55" s="18" t="s">
        <v>693</v>
      </c>
      <c r="E55" s="185" t="n">
        <v>7.6065</v>
      </c>
      <c r="F55" s="18" t="n">
        <f aca="false">E55/$B$2*$F$3/1000</f>
        <v>0.018635925</v>
      </c>
      <c r="G55" s="18" t="n">
        <f aca="false">LOOKUP(RIGHT(D55,5),Ref!$C$4:$C$21,Ref!$E$4:$E$21)*$G$3</f>
        <v>3</v>
      </c>
      <c r="H55" s="222" t="n">
        <f aca="false">$E55</f>
        <v>7.6065</v>
      </c>
      <c r="I55" s="185" t="n">
        <f aca="false">$E55</f>
        <v>7.6065</v>
      </c>
      <c r="J55" s="185" t="n">
        <f aca="false">$E55</f>
        <v>7.6065</v>
      </c>
      <c r="K55" s="185" t="n">
        <f aca="false">$E55</f>
        <v>7.6065</v>
      </c>
      <c r="L55" s="185" t="n">
        <f aca="false">$E55</f>
        <v>7.6065</v>
      </c>
      <c r="M55" s="185" t="n">
        <f aca="false">M$3*$E55</f>
        <v>7.96724490432516</v>
      </c>
      <c r="N55" s="185" t="n">
        <f aca="false">N$3*$E55</f>
        <v>8.18351524633159</v>
      </c>
      <c r="O55" s="185" t="n">
        <f aca="false">O$3*$E55</f>
        <v>8.51321702636124</v>
      </c>
      <c r="P55" s="185" t="n">
        <f aca="false">P$3*$E55</f>
        <v>8.99411974683305</v>
      </c>
      <c r="Q55" s="185" t="n">
        <f aca="false">Q$3*$E55</f>
        <v>9.65220292165087</v>
      </c>
      <c r="R55" s="185" t="n">
        <f aca="false">R$3*$E55</f>
        <v>10.4782630972131</v>
      </c>
      <c r="S55" s="185" t="n">
        <f aca="false">S$3*$E55</f>
        <v>11.40975</v>
      </c>
      <c r="T55" s="185" t="n">
        <f aca="false">T$3*$E55</f>
        <v>12.3412369027869</v>
      </c>
      <c r="U55" s="185" t="n">
        <f aca="false">U$3*$E55</f>
        <v>13.1672970783491</v>
      </c>
      <c r="V55" s="185" t="n">
        <f aca="false">V$3*$E55</f>
        <v>13.825380253167</v>
      </c>
      <c r="W55" s="185" t="n">
        <f aca="false">W$3*$E55</f>
        <v>14.3062829736388</v>
      </c>
      <c r="X55" s="185" t="n">
        <f aca="false">X$3*$E55</f>
        <v>14.6359847536684</v>
      </c>
      <c r="Y55" s="185" t="n">
        <f aca="false">Y$3*$E55</f>
        <v>14.8522550956748</v>
      </c>
      <c r="Z55" s="185" t="n">
        <f aca="false">Z$3*$E55</f>
        <v>14.9900365167898</v>
      </c>
      <c r="AA55" s="185" t="n">
        <f aca="false">AA$3*$E55</f>
        <v>15.0761878939234</v>
      </c>
      <c r="AB55" s="185" t="n">
        <f aca="false">AB$3*$E55</f>
        <v>15.1294278208804</v>
      </c>
      <c r="AC55" s="185" t="n">
        <f aca="false">AC$3*$E55</f>
        <v>15.1620908294444</v>
      </c>
      <c r="AD55" s="219" t="n">
        <f aca="false">Algae_electricity_factor/H55</f>
        <v>0.00180682273102337</v>
      </c>
      <c r="AE55" s="220" t="n">
        <f aca="false">Algae_electricity_factor/I55</f>
        <v>0.00180682273102337</v>
      </c>
      <c r="AF55" s="220" t="n">
        <f aca="false">Algae_electricity_factor/J55</f>
        <v>0.00180682273102337</v>
      </c>
      <c r="AG55" s="220" t="n">
        <f aca="false">Algae_electricity_factor/K55</f>
        <v>0.00180682273102337</v>
      </c>
      <c r="AH55" s="220" t="n">
        <f aca="false">Algae_electricity_factor/L55</f>
        <v>0.00180682273102337</v>
      </c>
      <c r="AI55" s="220" t="n">
        <f aca="false">Algae_electricity_factor/M55</f>
        <v>0.00172501250665312</v>
      </c>
      <c r="AJ55" s="220" t="n">
        <f aca="false">Algae_electricity_factor/N55</f>
        <v>0.00167942463474851</v>
      </c>
      <c r="AK55" s="220" t="n">
        <f aca="false">Algae_electricity_factor/O55</f>
        <v>0.00161438350049953</v>
      </c>
      <c r="AL55" s="220" t="n">
        <f aca="false">Algae_electricity_factor/P55</f>
        <v>0.00152806472343984</v>
      </c>
      <c r="AM55" s="220" t="n">
        <f aca="false">Algae_electricity_factor/Q55</f>
        <v>0.00142388190707232</v>
      </c>
      <c r="AN55" s="220" t="n">
        <f aca="false">Algae_electricity_factor/R55</f>
        <v>0.00131162932024341</v>
      </c>
      <c r="AO55" s="220" t="n">
        <f aca="false">Algae_electricity_factor/S55</f>
        <v>0.00120454848734891</v>
      </c>
      <c r="AP55" s="220" t="n">
        <f aca="false">Algae_electricity_factor/T55</f>
        <v>0.00111363206231182</v>
      </c>
      <c r="AQ55" s="220" t="n">
        <f aca="false">Algae_electricity_factor/U55</f>
        <v>0.00104376752660405</v>
      </c>
      <c r="AR55" s="220" t="n">
        <f aca="false">Algae_electricity_factor/V55</f>
        <v>0.000994084564175444</v>
      </c>
      <c r="AS55" s="220" t="n">
        <f aca="false">Algae_electricity_factor/W55</f>
        <v>0.000960668618735815</v>
      </c>
      <c r="AT55" s="220" t="n">
        <f aca="false">Algae_electricity_factor/X55</f>
        <v>0.000939027836858365</v>
      </c>
      <c r="AU55" s="220" t="n">
        <f aca="false">Algae_electricity_factor/Y55</f>
        <v>0.000925354231730881</v>
      </c>
      <c r="AV55" s="220" t="n">
        <f aca="false">Algae_electricity_factor/Z55</f>
        <v>0.000916848807415215</v>
      </c>
      <c r="AW55" s="220" t="n">
        <f aca="false">Algae_electricity_factor/AA55</f>
        <v>0.000911609566040815</v>
      </c>
      <c r="AX55" s="220" t="n">
        <f aca="false">Algae_electricity_factor/AB55</f>
        <v>0.000908401643885136</v>
      </c>
      <c r="AY55" s="220" t="n">
        <f aca="false">Algae_electricity_factor/AC55</f>
        <v>0.000906444715186609</v>
      </c>
      <c r="AZ55" s="211" t="n">
        <f aca="false">Algae_yield_cost_factor/H55</f>
        <v>0.100025322985107</v>
      </c>
      <c r="BA55" s="18" t="n">
        <f aca="false">Algae_yield_cost_factor/I55</f>
        <v>0.100025322985107</v>
      </c>
      <c r="BB55" s="18" t="n">
        <f aca="false">Algae_yield_cost_factor/J55</f>
        <v>0.100025322985107</v>
      </c>
      <c r="BC55" s="18" t="n">
        <f aca="false">Algae_yield_cost_factor/K55</f>
        <v>0.100025322985107</v>
      </c>
      <c r="BD55" s="18" t="n">
        <f aca="false">Algae_yield_cost_factor/L55</f>
        <v>0.100025322985107</v>
      </c>
      <c r="BE55" s="18" t="n">
        <f aca="false">Algae_yield_cost_factor/M55</f>
        <v>0.0954963263239443</v>
      </c>
      <c r="BF55" s="18" t="n">
        <f aca="false">Algae_yield_cost_factor/N55</f>
        <v>0.0929725914089644</v>
      </c>
      <c r="BG55" s="18" t="n">
        <f aca="false">Algae_yield_cost_factor/O55</f>
        <v>0.0893719280185461</v>
      </c>
      <c r="BH55" s="18" t="n">
        <f aca="false">Algae_yield_cost_factor/P55</f>
        <v>0.084593338837202</v>
      </c>
      <c r="BI55" s="18" t="n">
        <f aca="false">Algae_yield_cost_factor/Q55</f>
        <v>0.0788258002304915</v>
      </c>
      <c r="BJ55" s="18" t="n">
        <f aca="false">Algae_yield_cost_factor/R55</f>
        <v>0.0726115208434286</v>
      </c>
      <c r="BK55" s="18" t="n">
        <f aca="false">Algae_yield_cost_factor/S55</f>
        <v>0.0666835486567381</v>
      </c>
      <c r="BL55" s="18" t="n">
        <f aca="false">Algae_yield_cost_factor/T55</f>
        <v>0.0616504346589768</v>
      </c>
      <c r="BM55" s="18" t="n">
        <f aca="false">Algae_yield_cost_factor/U55</f>
        <v>0.0577827487873167</v>
      </c>
      <c r="BN55" s="18" t="n">
        <f aca="false">Algae_yield_cost_factor/V55</f>
        <v>0.055032310529899</v>
      </c>
      <c r="BO55" s="18" t="n">
        <f aca="false">Algae_yield_cost_factor/W55</f>
        <v>0.0531824108811612</v>
      </c>
      <c r="BP55" s="18" t="n">
        <f aca="false">Algae_yield_cost_factor/X55</f>
        <v>0.0519843817885583</v>
      </c>
      <c r="BQ55" s="18" t="n">
        <f aca="false">Algae_yield_cost_factor/Y55</f>
        <v>0.0512274139102138</v>
      </c>
      <c r="BR55" s="18" t="n">
        <f aca="false">Algae_yield_cost_factor/Z55</f>
        <v>0.0507565554249334</v>
      </c>
      <c r="BS55" s="18" t="n">
        <f aca="false">Algae_yield_cost_factor/AA55</f>
        <v>0.0504665121342037</v>
      </c>
      <c r="BT55" s="18" t="n">
        <f aca="false">Algae_yield_cost_factor/AB55</f>
        <v>0.0502889222443803</v>
      </c>
      <c r="BU55" s="18" t="n">
        <f aca="false">Algae_yield_cost_factor/AC55</f>
        <v>0.0501805870868864</v>
      </c>
    </row>
    <row r="56" customFormat="false" ht="15" hidden="false" customHeight="false" outlineLevel="0" collapsed="false">
      <c r="A56" s="18" t="s">
        <v>699</v>
      </c>
      <c r="B56" s="18" t="s">
        <v>22</v>
      </c>
      <c r="C56" s="18" t="s">
        <v>694</v>
      </c>
      <c r="D56" s="18" t="s">
        <v>694</v>
      </c>
      <c r="E56" s="185" t="n">
        <v>7.53225</v>
      </c>
      <c r="F56" s="18" t="n">
        <f aca="false">E56/$B$2*$F$3/1000</f>
        <v>0.0184540125</v>
      </c>
      <c r="G56" s="18" t="n">
        <f aca="false">LOOKUP(RIGHT(D56,5),Ref!$C$4:$C$21,Ref!$E$4:$E$21)*$G$3</f>
        <v>3</v>
      </c>
      <c r="H56" s="222" t="n">
        <f aca="false">$E56</f>
        <v>7.53225</v>
      </c>
      <c r="I56" s="185" t="n">
        <f aca="false">$E56</f>
        <v>7.53225</v>
      </c>
      <c r="J56" s="185" t="n">
        <f aca="false">$E56</f>
        <v>7.53225</v>
      </c>
      <c r="K56" s="185" t="n">
        <f aca="false">$E56</f>
        <v>7.53225</v>
      </c>
      <c r="L56" s="185" t="n">
        <f aca="false">$E56</f>
        <v>7.53225</v>
      </c>
      <c r="M56" s="185" t="n">
        <f aca="false">M$3*$E56</f>
        <v>7.88947353324173</v>
      </c>
      <c r="N56" s="185" t="n">
        <f aca="false">N$3*$E56</f>
        <v>8.10363277646501</v>
      </c>
      <c r="O56" s="185" t="n">
        <f aca="false">O$3*$E56</f>
        <v>8.4301162094011</v>
      </c>
      <c r="P56" s="185" t="n">
        <f aca="false">P$3*$E56</f>
        <v>8.90632465169043</v>
      </c>
      <c r="Q56" s="185" t="n">
        <f aca="false">Q$3*$E56</f>
        <v>9.55798402111415</v>
      </c>
      <c r="R56" s="185" t="n">
        <f aca="false">R$3*$E56</f>
        <v>10.3759807025548</v>
      </c>
      <c r="S56" s="185" t="n">
        <f aca="false">S$3*$E56</f>
        <v>11.298375</v>
      </c>
      <c r="T56" s="185" t="n">
        <f aca="false">T$3*$E56</f>
        <v>12.2207692974452</v>
      </c>
      <c r="U56" s="185" t="n">
        <f aca="false">U$3*$E56</f>
        <v>13.0387659788859</v>
      </c>
      <c r="V56" s="185" t="n">
        <f aca="false">V$3*$E56</f>
        <v>13.6904253483096</v>
      </c>
      <c r="W56" s="185" t="n">
        <f aca="false">W$3*$E56</f>
        <v>14.1666337905989</v>
      </c>
      <c r="X56" s="185" t="n">
        <f aca="false">X$3*$E56</f>
        <v>14.493117223535</v>
      </c>
      <c r="Y56" s="185" t="n">
        <f aca="false">Y$3*$E56</f>
        <v>14.7072764667583</v>
      </c>
      <c r="Z56" s="185" t="n">
        <f aca="false">Z$3*$E56</f>
        <v>14.8437129499231</v>
      </c>
      <c r="AA56" s="185" t="n">
        <f aca="false">AA$3*$E56</f>
        <v>14.929023370013</v>
      </c>
      <c r="AB56" s="185" t="n">
        <f aca="false">AB$3*$E56</f>
        <v>14.9817436013707</v>
      </c>
      <c r="AC56" s="185" t="n">
        <f aca="false">AC$3*$E56</f>
        <v>15.0140877736256</v>
      </c>
      <c r="AD56" s="219" t="n">
        <f aca="false">Algae_electricity_factor/H56</f>
        <v>0.00182463368894145</v>
      </c>
      <c r="AE56" s="220" t="n">
        <f aca="false">Algae_electricity_factor/I56</f>
        <v>0.00182463368894145</v>
      </c>
      <c r="AF56" s="220" t="n">
        <f aca="false">Algae_electricity_factor/J56</f>
        <v>0.00182463368894145</v>
      </c>
      <c r="AG56" s="220" t="n">
        <f aca="false">Algae_electricity_factor/K56</f>
        <v>0.00182463368894145</v>
      </c>
      <c r="AH56" s="220" t="n">
        <f aca="false">Algae_electricity_factor/L56</f>
        <v>0.00182463368894145</v>
      </c>
      <c r="AI56" s="220" t="n">
        <f aca="false">Algae_electricity_factor/M56</f>
        <v>0.00174201701109987</v>
      </c>
      <c r="AJ56" s="220" t="n">
        <f aca="false">Algae_electricity_factor/N56</f>
        <v>0.00169597975162993</v>
      </c>
      <c r="AK56" s="220" t="n">
        <f aca="false">Algae_electricity_factor/O56</f>
        <v>0.0016302974670981</v>
      </c>
      <c r="AL56" s="220" t="n">
        <f aca="false">Algae_electricity_factor/P56</f>
        <v>0.00154312779300278</v>
      </c>
      <c r="AM56" s="220" t="n">
        <f aca="false">Algae_electricity_factor/Q56</f>
        <v>0.00143791798282659</v>
      </c>
      <c r="AN56" s="220" t="n">
        <f aca="false">Algae_electricity_factor/R56</f>
        <v>0.00132455885352073</v>
      </c>
      <c r="AO56" s="220" t="n">
        <f aca="false">Algae_electricity_factor/S56</f>
        <v>0.0012164224592943</v>
      </c>
      <c r="AP56" s="220" t="n">
        <f aca="false">Algae_electricity_factor/T56</f>
        <v>0.00112460981539046</v>
      </c>
      <c r="AQ56" s="220" t="n">
        <f aca="false">Algae_electricity_factor/U56</f>
        <v>0.00105405658217846</v>
      </c>
      <c r="AR56" s="220" t="n">
        <f aca="false">Algae_electricity_factor/V56</f>
        <v>0.00100388386436994</v>
      </c>
      <c r="AS56" s="220" t="n">
        <f aca="false">Algae_electricity_factor/W56</f>
        <v>0.000970138517496628</v>
      </c>
      <c r="AT56" s="220" t="n">
        <f aca="false">Algae_electricity_factor/X56</f>
        <v>0.00094828440918227</v>
      </c>
      <c r="AU56" s="220" t="n">
        <f aca="false">Algae_electricity_factor/Y56</f>
        <v>0.000934476014957144</v>
      </c>
      <c r="AV56" s="220" t="n">
        <f aca="false">Algae_electricity_factor/Z56</f>
        <v>0.000925886747466405</v>
      </c>
      <c r="AW56" s="220" t="n">
        <f aca="false">Algae_electricity_factor/AA56</f>
        <v>0.000920595859681963</v>
      </c>
      <c r="AX56" s="220" t="n">
        <f aca="false">Algae_electricity_factor/AB56</f>
        <v>0.000917356315073489</v>
      </c>
      <c r="AY56" s="220" t="n">
        <f aca="false">Algae_electricity_factor/AC56</f>
        <v>0.000915380095730618</v>
      </c>
      <c r="AZ56" s="211" t="n">
        <f aca="false">Algae_yield_cost_factor/H56</f>
        <v>0.101011333836001</v>
      </c>
      <c r="BA56" s="18" t="n">
        <f aca="false">Algae_yield_cost_factor/I56</f>
        <v>0.101011333836001</v>
      </c>
      <c r="BB56" s="18" t="n">
        <f aca="false">Algae_yield_cost_factor/J56</f>
        <v>0.101011333836001</v>
      </c>
      <c r="BC56" s="18" t="n">
        <f aca="false">Algae_yield_cost_factor/K56</f>
        <v>0.101011333836001</v>
      </c>
      <c r="BD56" s="18" t="n">
        <f aca="false">Algae_yield_cost_factor/L56</f>
        <v>0.101011333836001</v>
      </c>
      <c r="BE56" s="18" t="n">
        <f aca="false">Algae_yield_cost_factor/M56</f>
        <v>0.0964376920817926</v>
      </c>
      <c r="BF56" s="18" t="n">
        <f aca="false">Algae_yield_cost_factor/N56</f>
        <v>0.0938890791665556</v>
      </c>
      <c r="BG56" s="18" t="n">
        <f aca="false">Algae_yield_cost_factor/O56</f>
        <v>0.0902529218325296</v>
      </c>
      <c r="BH56" s="18" t="n">
        <f aca="false">Algae_yield_cost_factor/P56</f>
        <v>0.0854272271718513</v>
      </c>
      <c r="BI56" s="18" t="n">
        <f aca="false">Algae_yield_cost_factor/Q56</f>
        <v>0.0796028344058195</v>
      </c>
      <c r="BJ56" s="18" t="n">
        <f aca="false">Algae_yield_cost_factor/R56</f>
        <v>0.0733272970620386</v>
      </c>
      <c r="BK56" s="18" t="n">
        <f aca="false">Algae_yield_cost_factor/S56</f>
        <v>0.0673408892240006</v>
      </c>
      <c r="BL56" s="18" t="n">
        <f aca="false">Algae_yield_cost_factor/T56</f>
        <v>0.0622581607399525</v>
      </c>
      <c r="BM56" s="18" t="n">
        <f aca="false">Algae_yield_cost_factor/U56</f>
        <v>0.0583523487205981</v>
      </c>
      <c r="BN56" s="18" t="n">
        <f aca="false">Algae_yield_cost_factor/V56</f>
        <v>0.0555747977092737</v>
      </c>
      <c r="BO56" s="18" t="n">
        <f aca="false">Algae_yield_cost_factor/W56</f>
        <v>0.0537066624670653</v>
      </c>
      <c r="BP56" s="18" t="n">
        <f aca="false">Algae_yield_cost_factor/X56</f>
        <v>0.0524968236681827</v>
      </c>
      <c r="BQ56" s="18" t="n">
        <f aca="false">Algae_yield_cost_factor/Y56</f>
        <v>0.0517323938939947</v>
      </c>
      <c r="BR56" s="18" t="n">
        <f aca="false">Algae_yield_cost_factor/Z56</f>
        <v>0.0512568938683336</v>
      </c>
      <c r="BS56" s="18" t="n">
        <f aca="false">Algae_yield_cost_factor/AA56</f>
        <v>0.0509639914433032</v>
      </c>
      <c r="BT56" s="18" t="n">
        <f aca="false">Algae_yield_cost_factor/AB56</f>
        <v>0.0507846509412033</v>
      </c>
      <c r="BU56" s="18" t="n">
        <f aca="false">Algae_yield_cost_factor/AC56</f>
        <v>0.0506752478577319</v>
      </c>
    </row>
    <row r="57" customFormat="false" ht="15" hidden="false" customHeight="false" outlineLevel="0" collapsed="false">
      <c r="A57" s="18" t="s">
        <v>699</v>
      </c>
      <c r="B57" s="18" t="s">
        <v>22</v>
      </c>
      <c r="C57" s="18" t="s">
        <v>682</v>
      </c>
      <c r="D57" s="18" t="s">
        <v>682</v>
      </c>
      <c r="E57" s="185" t="n">
        <v>8.19225</v>
      </c>
      <c r="F57" s="18" t="n">
        <f aca="false">E57/$B$2*$F$3/1000</f>
        <v>0.0200710125</v>
      </c>
      <c r="G57" s="18" t="n">
        <f aca="false">LOOKUP(RIGHT(D57,5),Ref!$C$4:$C$21,Ref!$E$4:$E$21)*$G$3</f>
        <v>3</v>
      </c>
      <c r="H57" s="222" t="n">
        <f aca="false">$E57</f>
        <v>8.19225</v>
      </c>
      <c r="I57" s="185" t="n">
        <f aca="false">$E57</f>
        <v>8.19225</v>
      </c>
      <c r="J57" s="185" t="n">
        <f aca="false">$E57</f>
        <v>8.19225</v>
      </c>
      <c r="K57" s="185" t="n">
        <f aca="false">$E57</f>
        <v>8.19225</v>
      </c>
      <c r="L57" s="185" t="n">
        <f aca="false">$E57</f>
        <v>8.19225</v>
      </c>
      <c r="M57" s="185" t="n">
        <f aca="false">M$3*$E57</f>
        <v>8.58077460953892</v>
      </c>
      <c r="N57" s="185" t="n">
        <f aca="false">N$3*$E57</f>
        <v>8.81369917527903</v>
      </c>
      <c r="O57" s="185" t="n">
        <f aca="false">O$3*$E57</f>
        <v>9.16879013793569</v>
      </c>
      <c r="P57" s="185" t="n">
        <f aca="false">P$3*$E57</f>
        <v>9.68672549740262</v>
      </c>
      <c r="Q57" s="185" t="n">
        <f aca="false">Q$3*$E57</f>
        <v>10.3954853592183</v>
      </c>
      <c r="R57" s="185" t="n">
        <f aca="false">R$3*$E57</f>
        <v>11.2851575439616</v>
      </c>
      <c r="S57" s="185" t="n">
        <f aca="false">S$3*$E57</f>
        <v>12.288375</v>
      </c>
      <c r="T57" s="185" t="n">
        <f aca="false">T$3*$E57</f>
        <v>13.2915924560384</v>
      </c>
      <c r="U57" s="185" t="n">
        <f aca="false">U$3*$E57</f>
        <v>14.1812646407817</v>
      </c>
      <c r="V57" s="185" t="n">
        <f aca="false">V$3*$E57</f>
        <v>14.8900245025974</v>
      </c>
      <c r="W57" s="185" t="n">
        <f aca="false">W$3*$E57</f>
        <v>15.4079598620643</v>
      </c>
      <c r="X57" s="185" t="n">
        <f aca="false">X$3*$E57</f>
        <v>15.763050824721</v>
      </c>
      <c r="Y57" s="185" t="n">
        <f aca="false">Y$3*$E57</f>
        <v>15.9959753904611</v>
      </c>
      <c r="Z57" s="185" t="n">
        <f aca="false">Z$3*$E57</f>
        <v>16.1443668776272</v>
      </c>
      <c r="AA57" s="185" t="n">
        <f aca="false">AA$3*$E57</f>
        <v>16.2371524714381</v>
      </c>
      <c r="AB57" s="185" t="n">
        <f aca="false">AB$3*$E57</f>
        <v>16.2944922192345</v>
      </c>
      <c r="AC57" s="185" t="n">
        <f aca="false">AC$3*$E57</f>
        <v>16.3296704920155</v>
      </c>
      <c r="AD57" s="219" t="n">
        <f aca="false">Algae_electricity_factor/H57</f>
        <v>0.00167763399597537</v>
      </c>
      <c r="AE57" s="220" t="n">
        <f aca="false">Algae_electricity_factor/I57</f>
        <v>0.00167763399597537</v>
      </c>
      <c r="AF57" s="220" t="n">
        <f aca="false">Algae_electricity_factor/J57</f>
        <v>0.00167763399597537</v>
      </c>
      <c r="AG57" s="220" t="n">
        <f aca="false">Algae_electricity_factor/K57</f>
        <v>0.00167763399597537</v>
      </c>
      <c r="AH57" s="220" t="n">
        <f aca="false">Algae_electricity_factor/L57</f>
        <v>0.00167763399597537</v>
      </c>
      <c r="AI57" s="220" t="n">
        <f aca="false">Algae_electricity_factor/M57</f>
        <v>0.00160167324384107</v>
      </c>
      <c r="AJ57" s="220" t="n">
        <f aca="false">Algae_electricity_factor/N57</f>
        <v>0.00155934492773225</v>
      </c>
      <c r="AK57" s="220" t="n">
        <f aca="false">Algae_electricity_factor/O57</f>
        <v>0.00149895426733189</v>
      </c>
      <c r="AL57" s="220" t="n">
        <f aca="false">Algae_electricity_factor/P57</f>
        <v>0.0014188073262956</v>
      </c>
      <c r="AM57" s="220" t="n">
        <f aca="false">Algae_electricity_factor/Q57</f>
        <v>0.00132207363375698</v>
      </c>
      <c r="AN57" s="220" t="n">
        <f aca="false">Algae_electricity_factor/R57</f>
        <v>0.00121784716340829</v>
      </c>
      <c r="AO57" s="220" t="n">
        <f aca="false">Algae_electricity_factor/S57</f>
        <v>0.00111842266398358</v>
      </c>
      <c r="AP57" s="220" t="n">
        <f aca="false">Algae_electricity_factor/T57</f>
        <v>0.0010340068091153</v>
      </c>
      <c r="AQ57" s="220" t="n">
        <f aca="false">Algae_electricity_factor/U57</f>
        <v>0.000969137622889162</v>
      </c>
      <c r="AR57" s="220" t="n">
        <f aca="false">Algae_electricity_factor/V57</f>
        <v>0.000923007017290795</v>
      </c>
      <c r="AS57" s="220" t="n">
        <f aca="false">Algae_electricity_factor/W57</f>
        <v>0.000891980328775853</v>
      </c>
      <c r="AT57" s="220" t="n">
        <f aca="false">Algae_electricity_factor/X57</f>
        <v>0.000871886873699308</v>
      </c>
      <c r="AU57" s="220" t="n">
        <f aca="false">Algae_electricity_factor/Y57</f>
        <v>0.000859190938223437</v>
      </c>
      <c r="AV57" s="220" t="n">
        <f aca="false">Algae_electricity_factor/Z57</f>
        <v>0.000851293656029031</v>
      </c>
      <c r="AW57" s="220" t="n">
        <f aca="false">Algae_electricity_factor/AA57</f>
        <v>0.000846429023050989</v>
      </c>
      <c r="AX57" s="220" t="n">
        <f aca="false">Algae_electricity_factor/AB57</f>
        <v>0.000843450468944708</v>
      </c>
      <c r="AY57" s="220" t="n">
        <f aca="false">Algae_electricity_factor/AC57</f>
        <v>0.000841633461633488</v>
      </c>
      <c r="AZ57" s="211" t="n">
        <f aca="false">Algae_yield_cost_factor/H57</f>
        <v>0.092873462026454</v>
      </c>
      <c r="BA57" s="18" t="n">
        <f aca="false">Algae_yield_cost_factor/I57</f>
        <v>0.092873462026454</v>
      </c>
      <c r="BB57" s="18" t="n">
        <f aca="false">Algae_yield_cost_factor/J57</f>
        <v>0.092873462026454</v>
      </c>
      <c r="BC57" s="18" t="n">
        <f aca="false">Algae_yield_cost_factor/K57</f>
        <v>0.092873462026454</v>
      </c>
      <c r="BD57" s="18" t="n">
        <f aca="false">Algae_yield_cost_factor/L57</f>
        <v>0.092873462026454</v>
      </c>
      <c r="BE57" s="18" t="n">
        <f aca="false">Algae_yield_cost_factor/M57</f>
        <v>0.0886682909070258</v>
      </c>
      <c r="BF57" s="18" t="n">
        <f aca="false">Algae_yield_cost_factor/N57</f>
        <v>0.0863250043092298</v>
      </c>
      <c r="BG57" s="18" t="n">
        <f aca="false">Algae_yield_cost_factor/O57</f>
        <v>0.0829817901642493</v>
      </c>
      <c r="BH57" s="18" t="n">
        <f aca="false">Algae_yield_cost_factor/P57</f>
        <v>0.0785448725155088</v>
      </c>
      <c r="BI57" s="18" t="n">
        <f aca="false">Algae_yield_cost_factor/Q57</f>
        <v>0.0731897158232761</v>
      </c>
      <c r="BJ57" s="18" t="n">
        <f aca="false">Algae_yield_cost_factor/R57</f>
        <v>0.0674197605414312</v>
      </c>
      <c r="BK57" s="18" t="n">
        <f aca="false">Algae_yield_cost_factor/S57</f>
        <v>0.0619156413509693</v>
      </c>
      <c r="BL57" s="18" t="n">
        <f aca="false">Algae_yield_cost_factor/T57</f>
        <v>0.0572423975383451</v>
      </c>
      <c r="BM57" s="18" t="n">
        <f aca="false">Algae_yield_cost_factor/U57</f>
        <v>0.0536512531539839</v>
      </c>
      <c r="BN57" s="18" t="n">
        <f aca="false">Algae_yield_cost_factor/V57</f>
        <v>0.0510974726168851</v>
      </c>
      <c r="BO57" s="18" t="n">
        <f aca="false">Algae_yield_cost_factor/W57</f>
        <v>0.0493798417245022</v>
      </c>
      <c r="BP57" s="18" t="n">
        <f aca="false">Algae_yield_cost_factor/X57</f>
        <v>0.0482674723152576</v>
      </c>
      <c r="BQ57" s="18" t="n">
        <f aca="false">Algae_yield_cost_factor/Y57</f>
        <v>0.0475646280213667</v>
      </c>
      <c r="BR57" s="18" t="n">
        <f aca="false">Algae_yield_cost_factor/Z57</f>
        <v>0.0471274361548727</v>
      </c>
      <c r="BS57" s="18" t="n">
        <f aca="false">Algae_yield_cost_factor/AA57</f>
        <v>0.0468581311054741</v>
      </c>
      <c r="BT57" s="18" t="n">
        <f aca="false">Algae_yield_cost_factor/AB57</f>
        <v>0.046693238982194</v>
      </c>
      <c r="BU57" s="18" t="n">
        <f aca="false">Algae_yield_cost_factor/AC57</f>
        <v>0.0465926498430103</v>
      </c>
    </row>
    <row r="58" customFormat="false" ht="15" hidden="false" customHeight="false" outlineLevel="0" collapsed="false">
      <c r="A58" s="18" t="s">
        <v>699</v>
      </c>
      <c r="B58" s="18" t="s">
        <v>22</v>
      </c>
      <c r="C58" s="18" t="s">
        <v>683</v>
      </c>
      <c r="D58" s="18" t="s">
        <v>683</v>
      </c>
      <c r="E58" s="185" t="n">
        <v>7.4415</v>
      </c>
      <c r="F58" s="18" t="n">
        <f aca="false">E58/$B$2*$F$3/1000</f>
        <v>0.018231675</v>
      </c>
      <c r="G58" s="18" t="n">
        <f aca="false">LOOKUP(RIGHT(D58,5),Ref!$C$4:$C$21,Ref!$E$4:$E$21)*$G$3</f>
        <v>3</v>
      </c>
      <c r="H58" s="222" t="n">
        <f aca="false">$E58</f>
        <v>7.4415</v>
      </c>
      <c r="I58" s="185" t="n">
        <f aca="false">$E58</f>
        <v>7.4415</v>
      </c>
      <c r="J58" s="185" t="n">
        <f aca="false">$E58</f>
        <v>7.4415</v>
      </c>
      <c r="K58" s="185" t="n">
        <f aca="false">$E58</f>
        <v>7.4415</v>
      </c>
      <c r="L58" s="185" t="n">
        <f aca="false">$E58</f>
        <v>7.4415</v>
      </c>
      <c r="M58" s="185" t="n">
        <f aca="false">M$3*$E58</f>
        <v>7.79441963525086</v>
      </c>
      <c r="N58" s="185" t="n">
        <f aca="false">N$3*$E58</f>
        <v>8.00599864662808</v>
      </c>
      <c r="O58" s="185" t="n">
        <f aca="false">O$3*$E58</f>
        <v>8.32854854422759</v>
      </c>
      <c r="P58" s="185" t="n">
        <f aca="false">P$3*$E58</f>
        <v>8.799019535405</v>
      </c>
      <c r="Q58" s="185" t="n">
        <f aca="false">Q$3*$E58</f>
        <v>9.44282758712482</v>
      </c>
      <c r="R58" s="185" t="n">
        <f aca="false">R$3*$E58</f>
        <v>10.2509688868614</v>
      </c>
      <c r="S58" s="185" t="n">
        <f aca="false">S$3*$E58</f>
        <v>11.16225</v>
      </c>
      <c r="T58" s="185" t="n">
        <f aca="false">T$3*$E58</f>
        <v>12.0735311131386</v>
      </c>
      <c r="U58" s="185" t="n">
        <f aca="false">U$3*$E58</f>
        <v>12.8816724128752</v>
      </c>
      <c r="V58" s="185" t="n">
        <f aca="false">V$3*$E58</f>
        <v>13.525480464595</v>
      </c>
      <c r="W58" s="185" t="n">
        <f aca="false">W$3*$E58</f>
        <v>13.9959514557724</v>
      </c>
      <c r="X58" s="185" t="n">
        <f aca="false">X$3*$E58</f>
        <v>14.3185013533719</v>
      </c>
      <c r="Y58" s="185" t="n">
        <f aca="false">Y$3*$E58</f>
        <v>14.5300803647491</v>
      </c>
      <c r="Z58" s="185" t="n">
        <f aca="false">Z$3*$E58</f>
        <v>14.6648730348638</v>
      </c>
      <c r="AA58" s="185" t="n">
        <f aca="false">AA$3*$E58</f>
        <v>14.7491556185671</v>
      </c>
      <c r="AB58" s="185" t="n">
        <f aca="false">AB$3*$E58</f>
        <v>14.8012406664144</v>
      </c>
      <c r="AC58" s="185" t="n">
        <f aca="false">AC$3*$E58</f>
        <v>14.8331951498469</v>
      </c>
      <c r="AD58" s="219" t="n">
        <f aca="false">Algae_electricity_factor/H58</f>
        <v>0.0018468853192944</v>
      </c>
      <c r="AE58" s="220" t="n">
        <f aca="false">Algae_electricity_factor/I58</f>
        <v>0.0018468853192944</v>
      </c>
      <c r="AF58" s="220" t="n">
        <f aca="false">Algae_electricity_factor/J58</f>
        <v>0.0018468853192944</v>
      </c>
      <c r="AG58" s="220" t="n">
        <f aca="false">Algae_electricity_factor/K58</f>
        <v>0.0018468853192944</v>
      </c>
      <c r="AH58" s="220" t="n">
        <f aca="false">Algae_electricity_factor/L58</f>
        <v>0.0018468853192944</v>
      </c>
      <c r="AI58" s="220" t="n">
        <f aca="false">Algae_electricity_factor/M58</f>
        <v>0.00176326112099133</v>
      </c>
      <c r="AJ58" s="220" t="n">
        <f aca="false">Algae_electricity_factor/N58</f>
        <v>0.00171666243152785</v>
      </c>
      <c r="AK58" s="220" t="n">
        <f aca="false">Algae_electricity_factor/O58</f>
        <v>0.00165017914352613</v>
      </c>
      <c r="AL58" s="220" t="n">
        <f aca="false">Algae_electricity_factor/P58</f>
        <v>0.00156194642462476</v>
      </c>
      <c r="AM58" s="220" t="n">
        <f aca="false">Algae_electricity_factor/Q58</f>
        <v>0.00145545356798301</v>
      </c>
      <c r="AN58" s="220" t="n">
        <f aca="false">Algae_electricity_factor/R58</f>
        <v>0.00134071201027098</v>
      </c>
      <c r="AO58" s="220" t="n">
        <f aca="false">Algae_electricity_factor/S58</f>
        <v>0.0012312568795296</v>
      </c>
      <c r="AP58" s="220" t="n">
        <f aca="false">Algae_electricity_factor/T58</f>
        <v>0.00113832456923669</v>
      </c>
      <c r="AQ58" s="220" t="n">
        <f aca="false">Algae_electricity_factor/U58</f>
        <v>0.00106691093074162</v>
      </c>
      <c r="AR58" s="220" t="n">
        <f aca="false">Algae_electricity_factor/V58</f>
        <v>0.0010161263505208</v>
      </c>
      <c r="AS58" s="220" t="n">
        <f aca="false">Algae_electricity_factor/W58</f>
        <v>0.000981969475027075</v>
      </c>
      <c r="AT58" s="220" t="n">
        <f aca="false">Algae_electricity_factor/X58</f>
        <v>0.000959848853196688</v>
      </c>
      <c r="AU58" s="220" t="n">
        <f aca="false">Algae_electricity_factor/Y58</f>
        <v>0.000945872063920036</v>
      </c>
      <c r="AV58" s="220" t="n">
        <f aca="false">Algae_electricity_factor/Z58</f>
        <v>0.000937178049264776</v>
      </c>
      <c r="AW58" s="220" t="n">
        <f aca="false">Algae_electricity_factor/AA58</f>
        <v>0.000931822638458572</v>
      </c>
      <c r="AX58" s="220" t="n">
        <f aca="false">Algae_electricity_factor/AB58</f>
        <v>0.000928543587208531</v>
      </c>
      <c r="AY58" s="220" t="n">
        <f aca="false">Algae_electricity_factor/AC58</f>
        <v>0.000926543267629772</v>
      </c>
      <c r="AZ58" s="211" t="n">
        <f aca="false">Algae_yield_cost_factor/H58</f>
        <v>0.102243179370586</v>
      </c>
      <c r="BA58" s="18" t="n">
        <f aca="false">Algae_yield_cost_factor/I58</f>
        <v>0.102243179370586</v>
      </c>
      <c r="BB58" s="18" t="n">
        <f aca="false">Algae_yield_cost_factor/J58</f>
        <v>0.102243179370586</v>
      </c>
      <c r="BC58" s="18" t="n">
        <f aca="false">Algae_yield_cost_factor/K58</f>
        <v>0.102243179370586</v>
      </c>
      <c r="BD58" s="18" t="n">
        <f aca="false">Algae_yield_cost_factor/L58</f>
        <v>0.102243179370586</v>
      </c>
      <c r="BE58" s="18" t="n">
        <f aca="false">Algae_yield_cost_factor/M58</f>
        <v>0.0976137614974242</v>
      </c>
      <c r="BF58" s="18" t="n">
        <f aca="false">Algae_yield_cost_factor/N58</f>
        <v>0.0950340679368794</v>
      </c>
      <c r="BG58" s="18" t="n">
        <f aca="false">Algae_yield_cost_factor/O58</f>
        <v>0.0913535672207312</v>
      </c>
      <c r="BH58" s="18" t="n">
        <f aca="false">Algae_yield_cost_factor/P58</f>
        <v>0.0864690226251666</v>
      </c>
      <c r="BI58" s="18" t="n">
        <f aca="false">Algae_yield_cost_factor/Q58</f>
        <v>0.0805736006790612</v>
      </c>
      <c r="BJ58" s="18" t="n">
        <f aca="false">Algae_yield_cost_factor/R58</f>
        <v>0.0742215323920634</v>
      </c>
      <c r="BK58" s="18" t="n">
        <f aca="false">Algae_yield_cost_factor/S58</f>
        <v>0.0681621195803909</v>
      </c>
      <c r="BL58" s="18" t="n">
        <f aca="false">Algae_yield_cost_factor/T58</f>
        <v>0.0630174066026348</v>
      </c>
      <c r="BM58" s="18" t="n">
        <f aca="false">Algae_yield_cost_factor/U58</f>
        <v>0.0590639627293859</v>
      </c>
      <c r="BN58" s="18" t="n">
        <f aca="false">Algae_yield_cost_factor/V58</f>
        <v>0.0562525391447527</v>
      </c>
      <c r="BO58" s="18" t="n">
        <f aca="false">Algae_yield_cost_factor/W58</f>
        <v>0.0543616217654442</v>
      </c>
      <c r="BP58" s="18" t="n">
        <f aca="false">Algae_yield_cost_factor/X58</f>
        <v>0.0531370288348678</v>
      </c>
      <c r="BQ58" s="18" t="n">
        <f aca="false">Algae_yield_cost_factor/Y58</f>
        <v>0.0523632767463605</v>
      </c>
      <c r="BR58" s="18" t="n">
        <f aca="false">Algae_yield_cost_factor/Z58</f>
        <v>0.0518819779398987</v>
      </c>
      <c r="BS58" s="18" t="n">
        <f aca="false">Algae_yield_cost_factor/AA58</f>
        <v>0.0515855035340752</v>
      </c>
      <c r="BT58" s="18" t="n">
        <f aca="false">Algae_yield_cost_factor/AB58</f>
        <v>0.0514039759526814</v>
      </c>
      <c r="BU58" s="18" t="n">
        <f aca="false">Algae_yield_cost_factor/AC58</f>
        <v>0.0512932386852653</v>
      </c>
    </row>
    <row r="59" customFormat="false" ht="15" hidden="false" customHeight="false" outlineLevel="0" collapsed="false">
      <c r="A59" s="18" t="s">
        <v>699</v>
      </c>
      <c r="B59" s="18" t="s">
        <v>22</v>
      </c>
      <c r="C59" s="18" t="s">
        <v>684</v>
      </c>
      <c r="D59" s="18" t="s">
        <v>684</v>
      </c>
      <c r="E59" s="185" t="n">
        <v>8.48925</v>
      </c>
      <c r="F59" s="18" t="n">
        <f aca="false">E59/$B$2*$F$3/1000</f>
        <v>0.0207986625</v>
      </c>
      <c r="G59" s="18" t="n">
        <f aca="false">LOOKUP(RIGHT(D59,5),Ref!$C$4:$C$21,Ref!$E$4:$E$21)*$G$3</f>
        <v>3.5</v>
      </c>
      <c r="H59" s="222" t="n">
        <f aca="false">$E59</f>
        <v>8.48925</v>
      </c>
      <c r="I59" s="185" t="n">
        <f aca="false">$E59</f>
        <v>8.48925</v>
      </c>
      <c r="J59" s="185" t="n">
        <f aca="false">$E59</f>
        <v>8.48925</v>
      </c>
      <c r="K59" s="185" t="n">
        <f aca="false">$E59</f>
        <v>8.48925</v>
      </c>
      <c r="L59" s="185" t="n">
        <f aca="false">$E59</f>
        <v>8.48925</v>
      </c>
      <c r="M59" s="185" t="n">
        <f aca="false">M$3*$E59</f>
        <v>8.89186009387266</v>
      </c>
      <c r="N59" s="185" t="n">
        <f aca="false">N$3*$E59</f>
        <v>9.13322905474534</v>
      </c>
      <c r="O59" s="185" t="n">
        <f aca="false">O$3*$E59</f>
        <v>9.50119340577626</v>
      </c>
      <c r="P59" s="185" t="n">
        <f aca="false">P$3*$E59</f>
        <v>10.0379058779731</v>
      </c>
      <c r="Q59" s="185" t="n">
        <f aca="false">Q$3*$E59</f>
        <v>10.7723609613652</v>
      </c>
      <c r="R59" s="185" t="n">
        <f aca="false">R$3*$E59</f>
        <v>11.6942871225947</v>
      </c>
      <c r="S59" s="185" t="n">
        <f aca="false">S$3*$E59</f>
        <v>12.733875</v>
      </c>
      <c r="T59" s="185" t="n">
        <f aca="false">T$3*$E59</f>
        <v>13.7734628774053</v>
      </c>
      <c r="U59" s="185" t="n">
        <f aca="false">U$3*$E59</f>
        <v>14.6953890386348</v>
      </c>
      <c r="V59" s="185" t="n">
        <f aca="false">V$3*$E59</f>
        <v>15.4298441220269</v>
      </c>
      <c r="W59" s="185" t="n">
        <f aca="false">W$3*$E59</f>
        <v>15.9665565942237</v>
      </c>
      <c r="X59" s="185" t="n">
        <f aca="false">X$3*$E59</f>
        <v>16.3345209452547</v>
      </c>
      <c r="Y59" s="185" t="n">
        <f aca="false">Y$3*$E59</f>
        <v>16.5758899061273</v>
      </c>
      <c r="Z59" s="185" t="n">
        <f aca="false">Z$3*$E59</f>
        <v>16.729661145094</v>
      </c>
      <c r="AA59" s="185" t="n">
        <f aca="false">AA$3*$E59</f>
        <v>16.8258105670793</v>
      </c>
      <c r="AB59" s="185" t="n">
        <f aca="false">AB$3*$E59</f>
        <v>16.8852290972732</v>
      </c>
      <c r="AC59" s="185" t="n">
        <f aca="false">AC$3*$E59</f>
        <v>16.921682715291</v>
      </c>
      <c r="AD59" s="219" t="n">
        <f aca="false">Algae_electricity_factor/H59</f>
        <v>0.0016189412614223</v>
      </c>
      <c r="AE59" s="220" t="n">
        <f aca="false">Algae_electricity_factor/I59</f>
        <v>0.0016189412614223</v>
      </c>
      <c r="AF59" s="220" t="n">
        <f aca="false">Algae_electricity_factor/J59</f>
        <v>0.0016189412614223</v>
      </c>
      <c r="AG59" s="220" t="n">
        <f aca="false">Algae_electricity_factor/K59</f>
        <v>0.0016189412614223</v>
      </c>
      <c r="AH59" s="220" t="n">
        <f aca="false">Algae_electricity_factor/L59</f>
        <v>0.0016189412614223</v>
      </c>
      <c r="AI59" s="220" t="n">
        <f aca="false">Algae_electricity_factor/M59</f>
        <v>0.0015456380283131</v>
      </c>
      <c r="AJ59" s="220" t="n">
        <f aca="false">Algae_electricity_factor/N59</f>
        <v>0.00150479058623724</v>
      </c>
      <c r="AK59" s="220" t="n">
        <f aca="false">Algae_electricity_factor/O59</f>
        <v>0.00144651271862057</v>
      </c>
      <c r="AL59" s="220" t="n">
        <f aca="false">Algae_electricity_factor/P59</f>
        <v>0.0013691697521978</v>
      </c>
      <c r="AM59" s="220" t="n">
        <f aca="false">Algae_electricity_factor/Q59</f>
        <v>0.00127582032878589</v>
      </c>
      <c r="AN59" s="220" t="n">
        <f aca="false">Algae_electricity_factor/R59</f>
        <v>0.0011752402655631</v>
      </c>
      <c r="AO59" s="220" t="n">
        <f aca="false">Algae_electricity_factor/S59</f>
        <v>0.00107929417428153</v>
      </c>
      <c r="AP59" s="220" t="n">
        <f aca="false">Algae_electricity_factor/T59</f>
        <v>0.000997831643781821</v>
      </c>
      <c r="AQ59" s="220" t="n">
        <f aca="false">Algae_electricity_factor/U59</f>
        <v>0.000935231933458637</v>
      </c>
      <c r="AR59" s="220" t="n">
        <f aca="false">Algae_electricity_factor/V59</f>
        <v>0.000890715226598406</v>
      </c>
      <c r="AS59" s="220" t="n">
        <f aca="false">Algae_electricity_factor/W59</f>
        <v>0.000860774019897397</v>
      </c>
      <c r="AT59" s="220" t="n">
        <f aca="false">Algae_electricity_factor/X59</f>
        <v>0.000841383542841023</v>
      </c>
      <c r="AU59" s="220" t="n">
        <f aca="false">Algae_electricity_factor/Y59</f>
        <v>0.000829131780034862</v>
      </c>
      <c r="AV59" s="220" t="n">
        <f aca="false">Algae_electricity_factor/Z59</f>
        <v>0.000821510787596529</v>
      </c>
      <c r="AW59" s="220" t="n">
        <f aca="false">Algae_electricity_factor/AA59</f>
        <v>0.000816816345859701</v>
      </c>
      <c r="AX59" s="220" t="n">
        <f aca="false">Algae_electricity_factor/AB59</f>
        <v>0.000813941997727984</v>
      </c>
      <c r="AY59" s="220" t="n">
        <f aca="false">Algae_electricity_factor/AC59</f>
        <v>0.00081218855918567</v>
      </c>
      <c r="AZ59" s="211" t="n">
        <f aca="false">Algae_yield_cost_factor/H59</f>
        <v>0.0896242446960824</v>
      </c>
      <c r="BA59" s="18" t="n">
        <f aca="false">Algae_yield_cost_factor/I59</f>
        <v>0.0896242446960824</v>
      </c>
      <c r="BB59" s="18" t="n">
        <f aca="false">Algae_yield_cost_factor/J59</f>
        <v>0.0896242446960824</v>
      </c>
      <c r="BC59" s="18" t="n">
        <f aca="false">Algae_yield_cost_factor/K59</f>
        <v>0.0896242446960824</v>
      </c>
      <c r="BD59" s="18" t="n">
        <f aca="false">Algae_yield_cost_factor/L59</f>
        <v>0.0896242446960824</v>
      </c>
      <c r="BE59" s="18" t="n">
        <f aca="false">Algae_yield_cost_factor/M59</f>
        <v>0.0855661932659637</v>
      </c>
      <c r="BF59" s="18" t="n">
        <f aca="false">Algae_yield_cost_factor/N59</f>
        <v>0.0833048875403938</v>
      </c>
      <c r="BG59" s="18" t="n">
        <f aca="false">Algae_yield_cost_factor/O59</f>
        <v>0.0800786371555875</v>
      </c>
      <c r="BH59" s="18" t="n">
        <f aca="false">Algae_yield_cost_factor/P59</f>
        <v>0.0757969469464531</v>
      </c>
      <c r="BI59" s="18" t="n">
        <f aca="false">Algae_yield_cost_factor/Q59</f>
        <v>0.0706291426749399</v>
      </c>
      <c r="BJ59" s="18" t="n">
        <f aca="false">Algae_yield_cost_factor/R59</f>
        <v>0.0650610517178243</v>
      </c>
      <c r="BK59" s="18" t="n">
        <f aca="false">Algae_yield_cost_factor/S59</f>
        <v>0.059749496464055</v>
      </c>
      <c r="BL59" s="18" t="n">
        <f aca="false">Algae_yield_cost_factor/T59</f>
        <v>0.0552397480617849</v>
      </c>
      <c r="BM59" s="18" t="n">
        <f aca="false">Algae_yield_cost_factor/U59</f>
        <v>0.0517742413818329</v>
      </c>
      <c r="BN59" s="18" t="n">
        <f aca="false">Algae_yield_cost_factor/V59</f>
        <v>0.049309805936411</v>
      </c>
      <c r="BO59" s="18" t="n">
        <f aca="false">Algae_yield_cost_factor/W59</f>
        <v>0.0476522670869103</v>
      </c>
      <c r="BP59" s="18" t="n">
        <f aca="false">Algae_yield_cost_factor/X59</f>
        <v>0.0465788143916917</v>
      </c>
      <c r="BQ59" s="18" t="n">
        <f aca="false">Algae_yield_cost_factor/Y59</f>
        <v>0.0459005594025434</v>
      </c>
      <c r="BR59" s="18" t="n">
        <f aca="false">Algae_yield_cost_factor/Z59</f>
        <v>0.0454786628783174</v>
      </c>
      <c r="BS59" s="18" t="n">
        <f aca="false">Algae_yield_cost_factor/AA59</f>
        <v>0.0452187795799182</v>
      </c>
      <c r="BT59" s="18" t="n">
        <f aca="false">Algae_yield_cost_factor/AB59</f>
        <v>0.0450596562772776</v>
      </c>
      <c r="BU59" s="18" t="n">
        <f aca="false">Algae_yield_cost_factor/AC59</f>
        <v>0.0449625862916514</v>
      </c>
    </row>
    <row r="60" customFormat="false" ht="15" hidden="false" customHeight="false" outlineLevel="0" collapsed="false">
      <c r="A60" s="18" t="s">
        <v>699</v>
      </c>
      <c r="B60" s="18" t="s">
        <v>22</v>
      </c>
      <c r="C60" s="18" t="s">
        <v>685</v>
      </c>
      <c r="D60" s="18" t="s">
        <v>685</v>
      </c>
      <c r="E60" s="185" t="n">
        <v>8.9595</v>
      </c>
      <c r="F60" s="18" t="n">
        <f aca="false">E60/$B$2*$F$3/1000</f>
        <v>0.021950775</v>
      </c>
      <c r="G60" s="18" t="n">
        <f aca="false">LOOKUP(RIGHT(D60,5),Ref!$C$4:$C$21,Ref!$E$4:$E$21)*$G$3</f>
        <v>4</v>
      </c>
      <c r="H60" s="222" t="n">
        <f aca="false">$E60</f>
        <v>8.9595</v>
      </c>
      <c r="I60" s="185" t="n">
        <f aca="false">$E60</f>
        <v>8.9595</v>
      </c>
      <c r="J60" s="185" t="n">
        <f aca="false">$E60</f>
        <v>8.9595</v>
      </c>
      <c r="K60" s="185" t="n">
        <f aca="false">$E60</f>
        <v>8.9595</v>
      </c>
      <c r="L60" s="185" t="n">
        <f aca="false">$E60</f>
        <v>8.9595</v>
      </c>
      <c r="M60" s="185" t="n">
        <f aca="false">M$3*$E60</f>
        <v>9.38441211073441</v>
      </c>
      <c r="N60" s="185" t="n">
        <f aca="false">N$3*$E60</f>
        <v>9.63915136390033</v>
      </c>
      <c r="O60" s="185" t="n">
        <f aca="false">O$3*$E60</f>
        <v>10.0274985798572</v>
      </c>
      <c r="P60" s="185" t="n">
        <f aca="false">P$3*$E60</f>
        <v>10.5939414805431</v>
      </c>
      <c r="Q60" s="185" t="n">
        <f aca="false">Q$3*$E60</f>
        <v>11.3690806647645</v>
      </c>
      <c r="R60" s="185" t="n">
        <f aca="false">R$3*$E60</f>
        <v>12.342075622097</v>
      </c>
      <c r="S60" s="185" t="n">
        <f aca="false">S$3*$E60</f>
        <v>13.43925</v>
      </c>
      <c r="T60" s="185" t="n">
        <f aca="false">T$3*$E60</f>
        <v>14.536424377903</v>
      </c>
      <c r="U60" s="185" t="n">
        <f aca="false">U$3*$E60</f>
        <v>15.5094193352355</v>
      </c>
      <c r="V60" s="185" t="n">
        <f aca="false">V$3*$E60</f>
        <v>16.284558519457</v>
      </c>
      <c r="W60" s="185" t="n">
        <f aca="false">W$3*$E60</f>
        <v>16.8510014201428</v>
      </c>
      <c r="X60" s="185" t="n">
        <f aca="false">X$3*$E60</f>
        <v>17.2393486360997</v>
      </c>
      <c r="Y60" s="185" t="n">
        <f aca="false">Y$3*$E60</f>
        <v>17.4940878892656</v>
      </c>
      <c r="Z60" s="185" t="n">
        <f aca="false">Z$3*$E60</f>
        <v>17.6563770685832</v>
      </c>
      <c r="AA60" s="185" t="n">
        <f aca="false">AA$3*$E60</f>
        <v>17.7578525518446</v>
      </c>
      <c r="AB60" s="185" t="n">
        <f aca="false">AB$3*$E60</f>
        <v>17.8205624875012</v>
      </c>
      <c r="AC60" s="185" t="n">
        <f aca="false">AC$3*$E60</f>
        <v>17.8590354021439</v>
      </c>
      <c r="AD60" s="219" t="n">
        <f aca="false">Algae_electricity_factor/H60</f>
        <v>0.00153396920626478</v>
      </c>
      <c r="AE60" s="220" t="n">
        <f aca="false">Algae_electricity_factor/I60</f>
        <v>0.00153396920626478</v>
      </c>
      <c r="AF60" s="220" t="n">
        <f aca="false">Algae_electricity_factor/J60</f>
        <v>0.00153396920626478</v>
      </c>
      <c r="AG60" s="220" t="n">
        <f aca="false">Algae_electricity_factor/K60</f>
        <v>0.00153396920626478</v>
      </c>
      <c r="AH60" s="220" t="n">
        <f aca="false">Algae_electricity_factor/L60</f>
        <v>0.00153396920626478</v>
      </c>
      <c r="AI60" s="220" t="n">
        <f aca="false">Algae_electricity_factor/M60</f>
        <v>0.00146451338041821</v>
      </c>
      <c r="AJ60" s="220" t="n">
        <f aca="false">Algae_electricity_factor/N60</f>
        <v>0.00142580986486015</v>
      </c>
      <c r="AK60" s="220" t="n">
        <f aca="false">Algae_electricity_factor/O60</f>
        <v>0.00137059078035043</v>
      </c>
      <c r="AL60" s="220" t="n">
        <f aca="false">Algae_electricity_factor/P60</f>
        <v>0.00129730725139184</v>
      </c>
      <c r="AM60" s="220" t="n">
        <f aca="false">Algae_electricity_factor/Q60</f>
        <v>0.00120885738335237</v>
      </c>
      <c r="AN60" s="220" t="n">
        <f aca="false">Algae_electricity_factor/R60</f>
        <v>0.00111355638422139</v>
      </c>
      <c r="AO60" s="220" t="n">
        <f aca="false">Algae_electricity_factor/S60</f>
        <v>0.00102264613750985</v>
      </c>
      <c r="AP60" s="220" t="n">
        <f aca="false">Algae_electricity_factor/T60</f>
        <v>0.0009454592646883</v>
      </c>
      <c r="AQ60" s="220" t="n">
        <f aca="false">Algae_electricity_factor/U60</f>
        <v>0.000886145174520201</v>
      </c>
      <c r="AR60" s="220" t="n">
        <f aca="false">Algae_electricity_factor/V60</f>
        <v>0.000843964979898489</v>
      </c>
      <c r="AS60" s="220" t="n">
        <f aca="false">Algae_electricity_factor/W60</f>
        <v>0.000815595272996705</v>
      </c>
      <c r="AT60" s="220" t="n">
        <f aca="false">Algae_electricity_factor/X60</f>
        <v>0.000797222528161522</v>
      </c>
      <c r="AU60" s="220" t="n">
        <f aca="false">Algae_electricity_factor/Y60</f>
        <v>0.000785613813679441</v>
      </c>
      <c r="AV60" s="220" t="n">
        <f aca="false">Algae_electricity_factor/Z60</f>
        <v>0.000778392818081794</v>
      </c>
      <c r="AW60" s="220" t="n">
        <f aca="false">Algae_electricity_factor/AA60</f>
        <v>0.000773944769695793</v>
      </c>
      <c r="AX60" s="220" t="n">
        <f aca="false">Algae_electricity_factor/AB60</f>
        <v>0.000771221285140051</v>
      </c>
      <c r="AY60" s="220" t="n">
        <f aca="false">Algae_electricity_factor/AC60</f>
        <v>0.000769559877902444</v>
      </c>
      <c r="AZ60" s="211" t="n">
        <f aca="false">Algae_yield_cost_factor/H60</f>
        <v>0.0849202097534704</v>
      </c>
      <c r="BA60" s="18" t="n">
        <f aca="false">Algae_yield_cost_factor/I60</f>
        <v>0.0849202097534704</v>
      </c>
      <c r="BB60" s="18" t="n">
        <f aca="false">Algae_yield_cost_factor/J60</f>
        <v>0.0849202097534704</v>
      </c>
      <c r="BC60" s="18" t="n">
        <f aca="false">Algae_yield_cost_factor/K60</f>
        <v>0.0849202097534704</v>
      </c>
      <c r="BD60" s="18" t="n">
        <f aca="false">Algae_yield_cost_factor/L60</f>
        <v>0.0849202097534704</v>
      </c>
      <c r="BE60" s="18" t="n">
        <f aca="false">Algae_yield_cost_factor/M60</f>
        <v>0.0810751499729987</v>
      </c>
      <c r="BF60" s="18" t="n">
        <f aca="false">Algae_yield_cost_factor/N60</f>
        <v>0.0789325315645168</v>
      </c>
      <c r="BG60" s="18" t="n">
        <f aca="false">Algae_yield_cost_factor/O60</f>
        <v>0.0758756147634434</v>
      </c>
      <c r="BH60" s="18" t="n">
        <f aca="false">Algae_yield_cost_factor/P60</f>
        <v>0.0718186541509211</v>
      </c>
      <c r="BI60" s="18" t="n">
        <f aca="false">Algae_yield_cost_factor/Q60</f>
        <v>0.0669220882251502</v>
      </c>
      <c r="BJ60" s="18" t="n">
        <f aca="false">Algae_yield_cost_factor/R60</f>
        <v>0.0616462451359496</v>
      </c>
      <c r="BK60" s="18" t="n">
        <f aca="false">Algae_yield_cost_factor/S60</f>
        <v>0.0566134731689802</v>
      </c>
      <c r="BL60" s="18" t="n">
        <f aca="false">Algae_yield_cost_factor/T60</f>
        <v>0.0523404242684868</v>
      </c>
      <c r="BM60" s="18" t="n">
        <f aca="false">Algae_yield_cost_factor/U60</f>
        <v>0.0490568088231179</v>
      </c>
      <c r="BN60" s="18" t="n">
        <f aca="false">Algae_yield_cost_factor/V60</f>
        <v>0.046721722199417</v>
      </c>
      <c r="BO60" s="18" t="n">
        <f aca="false">Algae_yield_cost_factor/W60</f>
        <v>0.0451511812453321</v>
      </c>
      <c r="BP60" s="18" t="n">
        <f aca="false">Algae_yield_cost_factor/X60</f>
        <v>0.0441340699899179</v>
      </c>
      <c r="BQ60" s="18" t="n">
        <f aca="false">Algae_yield_cost_factor/Y60</f>
        <v>0.043491414019537</v>
      </c>
      <c r="BR60" s="18" t="n">
        <f aca="false">Algae_yield_cost_factor/Z60</f>
        <v>0.0430916612355328</v>
      </c>
      <c r="BS60" s="18" t="n">
        <f aca="false">Algae_yield_cost_factor/AA60</f>
        <v>0.0428454182207512</v>
      </c>
      <c r="BT60" s="18" t="n">
        <f aca="false">Algae_yield_cost_factor/AB60</f>
        <v>0.0426946466936635</v>
      </c>
      <c r="BU60" s="18" t="n">
        <f aca="false">Algae_yield_cost_factor/AC60</f>
        <v>0.0426026715415371</v>
      </c>
    </row>
    <row r="61" customFormat="false" ht="15" hidden="false" customHeight="false" outlineLevel="0" collapsed="false">
      <c r="A61" s="18" t="s">
        <v>699</v>
      </c>
      <c r="B61" s="18" t="s">
        <v>22</v>
      </c>
      <c r="C61" s="18" t="s">
        <v>686</v>
      </c>
      <c r="D61" s="18" t="s">
        <v>686</v>
      </c>
      <c r="E61" s="185" t="n">
        <v>8.85225</v>
      </c>
      <c r="F61" s="18" t="n">
        <f aca="false">E61/$B$2*$F$3/1000</f>
        <v>0.0216880125</v>
      </c>
      <c r="G61" s="18" t="n">
        <f aca="false">LOOKUP(RIGHT(D61,5),Ref!$C$4:$C$21,Ref!$E$4:$E$21)*$G$3</f>
        <v>4.5</v>
      </c>
      <c r="H61" s="222" t="n">
        <f aca="false">$E61</f>
        <v>8.85225</v>
      </c>
      <c r="I61" s="185" t="n">
        <f aca="false">$E61</f>
        <v>8.85225</v>
      </c>
      <c r="J61" s="185" t="n">
        <f aca="false">$E61</f>
        <v>8.85225</v>
      </c>
      <c r="K61" s="185" t="n">
        <f aca="false">$E61</f>
        <v>8.85225</v>
      </c>
      <c r="L61" s="185" t="n">
        <f aca="false">$E61</f>
        <v>8.85225</v>
      </c>
      <c r="M61" s="185" t="n">
        <f aca="false">M$3*$E61</f>
        <v>9.27207568583611</v>
      </c>
      <c r="N61" s="185" t="n">
        <f aca="false">N$3*$E61</f>
        <v>9.52376557409305</v>
      </c>
      <c r="O61" s="185" t="n">
        <f aca="false">O$3*$E61</f>
        <v>9.90746406647029</v>
      </c>
      <c r="P61" s="185" t="n">
        <f aca="false">P$3*$E61</f>
        <v>10.4671263431148</v>
      </c>
      <c r="Q61" s="185" t="n">
        <f aca="false">Q$3*$E61</f>
        <v>11.2329866973225</v>
      </c>
      <c r="R61" s="185" t="n">
        <f aca="false">R$3*$E61</f>
        <v>12.1943343853684</v>
      </c>
      <c r="S61" s="185" t="n">
        <f aca="false">S$3*$E61</f>
        <v>13.278375</v>
      </c>
      <c r="T61" s="185" t="n">
        <f aca="false">T$3*$E61</f>
        <v>14.3624156146316</v>
      </c>
      <c r="U61" s="185" t="n">
        <f aca="false">U$3*$E61</f>
        <v>15.3237633026775</v>
      </c>
      <c r="V61" s="185" t="n">
        <f aca="false">V$3*$E61</f>
        <v>16.0896236568852</v>
      </c>
      <c r="W61" s="185" t="n">
        <f aca="false">W$3*$E61</f>
        <v>16.6492859335297</v>
      </c>
      <c r="X61" s="185" t="n">
        <f aca="false">X$3*$E61</f>
        <v>17.0329844259069</v>
      </c>
      <c r="Y61" s="185" t="n">
        <f aca="false">Y$3*$E61</f>
        <v>17.2846743141639</v>
      </c>
      <c r="Z61" s="185" t="n">
        <f aca="false">Z$3*$E61</f>
        <v>17.4450208053313</v>
      </c>
      <c r="AA61" s="185" t="n">
        <f aca="false">AA$3*$E61</f>
        <v>17.5452815728631</v>
      </c>
      <c r="AB61" s="185" t="n">
        <f aca="false">AB$3*$E61</f>
        <v>17.6072408370983</v>
      </c>
      <c r="AC61" s="185" t="n">
        <f aca="false">AC$3*$E61</f>
        <v>17.6452532104055</v>
      </c>
      <c r="AD61" s="219" t="n">
        <f aca="false">Algae_electricity_factor/H61</f>
        <v>0.00155255410811141</v>
      </c>
      <c r="AE61" s="220" t="n">
        <f aca="false">Algae_electricity_factor/I61</f>
        <v>0.00155255410811141</v>
      </c>
      <c r="AF61" s="220" t="n">
        <f aca="false">Algae_electricity_factor/J61</f>
        <v>0.00155255410811141</v>
      </c>
      <c r="AG61" s="220" t="n">
        <f aca="false">Algae_electricity_factor/K61</f>
        <v>0.00155255410811141</v>
      </c>
      <c r="AH61" s="220" t="n">
        <f aca="false">Algae_electricity_factor/L61</f>
        <v>0.00155255410811141</v>
      </c>
      <c r="AI61" s="220" t="n">
        <f aca="false">Algae_electricity_factor/M61</f>
        <v>0.00148225678577277</v>
      </c>
      <c r="AJ61" s="220" t="n">
        <f aca="false">Algae_electricity_factor/N61</f>
        <v>0.00144308435530114</v>
      </c>
      <c r="AK61" s="220" t="n">
        <f aca="false">Algae_electricity_factor/O61</f>
        <v>0.00138719626044787</v>
      </c>
      <c r="AL61" s="220" t="n">
        <f aca="false">Algae_electricity_factor/P61</f>
        <v>0.00131302486021578</v>
      </c>
      <c r="AM61" s="220" t="n">
        <f aca="false">Algae_electricity_factor/Q61</f>
        <v>0.00122350337215348</v>
      </c>
      <c r="AN61" s="220" t="n">
        <f aca="false">Algae_electricity_factor/R61</f>
        <v>0.00112704774768353</v>
      </c>
      <c r="AO61" s="220" t="n">
        <f aca="false">Algae_electricity_factor/S61</f>
        <v>0.00103503607207428</v>
      </c>
      <c r="AP61" s="220" t="n">
        <f aca="false">Algae_electricity_factor/T61</f>
        <v>0.000956914036767468</v>
      </c>
      <c r="AQ61" s="220" t="n">
        <f aca="false">Algae_electricity_factor/U61</f>
        <v>0.000896881322953344</v>
      </c>
      <c r="AR61" s="220" t="n">
        <f aca="false">Algae_electricity_factor/V61</f>
        <v>0.000854190091490922</v>
      </c>
      <c r="AS61" s="220" t="n">
        <f aca="false">Algae_electricity_factor/W61</f>
        <v>0.000825476669594056</v>
      </c>
      <c r="AT61" s="220" t="n">
        <f aca="false">Algae_electricity_factor/X61</f>
        <v>0.000806881328595911</v>
      </c>
      <c r="AU61" s="220" t="n">
        <f aca="false">Algae_electricity_factor/Y61</f>
        <v>0.000795131967992426</v>
      </c>
      <c r="AV61" s="220" t="n">
        <f aca="false">Algae_electricity_factor/Z61</f>
        <v>0.000787823485961629</v>
      </c>
      <c r="AW61" s="220" t="n">
        <f aca="false">Algae_electricity_factor/AA61</f>
        <v>0.000783321546961446</v>
      </c>
      <c r="AX61" s="220" t="n">
        <f aca="false">Algae_electricity_factor/AB61</f>
        <v>0.000780565065854702</v>
      </c>
      <c r="AY61" s="220" t="n">
        <f aca="false">Algae_electricity_factor/AC61</f>
        <v>0.000778883529731644</v>
      </c>
      <c r="AZ61" s="211" t="n">
        <f aca="false">Algae_yield_cost_factor/H61</f>
        <v>0.0859490659760194</v>
      </c>
      <c r="BA61" s="18" t="n">
        <f aca="false">Algae_yield_cost_factor/I61</f>
        <v>0.0859490659760194</v>
      </c>
      <c r="BB61" s="18" t="n">
        <f aca="false">Algae_yield_cost_factor/J61</f>
        <v>0.0859490659760194</v>
      </c>
      <c r="BC61" s="18" t="n">
        <f aca="false">Algae_yield_cost_factor/K61</f>
        <v>0.0859490659760194</v>
      </c>
      <c r="BD61" s="18" t="n">
        <f aca="false">Algae_yield_cost_factor/L61</f>
        <v>0.0859490659760194</v>
      </c>
      <c r="BE61" s="18" t="n">
        <f aca="false">Algae_yield_cost_factor/M61</f>
        <v>0.08205742112831</v>
      </c>
      <c r="BF61" s="18" t="n">
        <f aca="false">Algae_yield_cost_factor/N61</f>
        <v>0.079888843689716</v>
      </c>
      <c r="BG61" s="18" t="n">
        <f aca="false">Algae_yield_cost_factor/O61</f>
        <v>0.0767948906179865</v>
      </c>
      <c r="BH61" s="18" t="n">
        <f aca="false">Algae_yield_cost_factor/P61</f>
        <v>0.072688777640168</v>
      </c>
      <c r="BI61" s="18" t="n">
        <f aca="false">Algae_yield_cost_factor/Q61</f>
        <v>0.0677328870573282</v>
      </c>
      <c r="BJ61" s="18" t="n">
        <f aca="false">Algae_yield_cost_factor/R61</f>
        <v>0.062393124154372</v>
      </c>
      <c r="BK61" s="18" t="n">
        <f aca="false">Algae_yield_cost_factor/S61</f>
        <v>0.0572993773173463</v>
      </c>
      <c r="BL61" s="18" t="n">
        <f aca="false">Algae_yield_cost_factor/T61</f>
        <v>0.0529745580201087</v>
      </c>
      <c r="BM61" s="18" t="n">
        <f aca="false">Algae_yield_cost_factor/U61</f>
        <v>0.0496511597221864</v>
      </c>
      <c r="BN61" s="18" t="n">
        <f aca="false">Algae_yield_cost_factor/V61</f>
        <v>0.0472877822074249</v>
      </c>
      <c r="BO61" s="18" t="n">
        <f aca="false">Algae_yield_cost_factor/W61</f>
        <v>0.0456982132641479</v>
      </c>
      <c r="BP61" s="18" t="n">
        <f aca="false">Algae_yield_cost_factor/X61</f>
        <v>0.0446687791323866</v>
      </c>
      <c r="BQ61" s="18" t="n">
        <f aca="false">Algae_yield_cost_factor/Y61</f>
        <v>0.0440183370225696</v>
      </c>
      <c r="BR61" s="18" t="n">
        <f aca="false">Algae_yield_cost_factor/Z61</f>
        <v>0.0436137410081907</v>
      </c>
      <c r="BS61" s="18" t="n">
        <f aca="false">Algae_yield_cost_factor/AA61</f>
        <v>0.0433645146204434</v>
      </c>
      <c r="BT61" s="18" t="n">
        <f aca="false">Algae_yield_cost_factor/AB61</f>
        <v>0.0432119164112941</v>
      </c>
      <c r="BU61" s="18" t="n">
        <f aca="false">Algae_yield_cost_factor/AC61</f>
        <v>0.0431188269283404</v>
      </c>
    </row>
    <row r="62" customFormat="false" ht="15" hidden="false" customHeight="false" outlineLevel="0" collapsed="false">
      <c r="A62" s="18" t="s">
        <v>699</v>
      </c>
      <c r="B62" s="18" t="s">
        <v>22</v>
      </c>
      <c r="C62" s="18" t="s">
        <v>687</v>
      </c>
      <c r="D62" s="18" t="s">
        <v>687</v>
      </c>
      <c r="E62" s="185" t="n">
        <v>8.6295</v>
      </c>
      <c r="F62" s="18" t="n">
        <f aca="false">E62/$B$2*$F$3/1000</f>
        <v>0.021142275</v>
      </c>
      <c r="G62" s="18" t="n">
        <f aca="false">LOOKUP(RIGHT(D62,5),Ref!$C$4:$C$21,Ref!$E$4:$E$21)*$G$3</f>
        <v>4.5</v>
      </c>
      <c r="H62" s="222" t="n">
        <f aca="false">$E62</f>
        <v>8.6295</v>
      </c>
      <c r="I62" s="185" t="n">
        <f aca="false">$E62</f>
        <v>8.6295</v>
      </c>
      <c r="J62" s="185" t="n">
        <f aca="false">$E62</f>
        <v>8.6295</v>
      </c>
      <c r="K62" s="185" t="n">
        <f aca="false">$E62</f>
        <v>8.6295</v>
      </c>
      <c r="L62" s="185" t="n">
        <f aca="false">$E62</f>
        <v>8.6295</v>
      </c>
      <c r="M62" s="185" t="n">
        <f aca="false">M$3*$E62</f>
        <v>9.03876157258581</v>
      </c>
      <c r="N62" s="185" t="n">
        <f aca="false">N$3*$E62</f>
        <v>9.28411816449332</v>
      </c>
      <c r="O62" s="185" t="n">
        <f aca="false">O$3*$E62</f>
        <v>9.65816161558986</v>
      </c>
      <c r="P62" s="185" t="n">
        <f aca="false">P$3*$E62</f>
        <v>10.203741057687</v>
      </c>
      <c r="Q62" s="185" t="n">
        <f aca="false">Q$3*$E62</f>
        <v>10.9503299957124</v>
      </c>
      <c r="R62" s="185" t="n">
        <f aca="false">R$3*$E62</f>
        <v>11.8874872013936</v>
      </c>
      <c r="S62" s="185" t="n">
        <f aca="false">S$3*$E62</f>
        <v>12.94425</v>
      </c>
      <c r="T62" s="185" t="n">
        <f aca="false">T$3*$E62</f>
        <v>14.0010127986064</v>
      </c>
      <c r="U62" s="185" t="n">
        <f aca="false">U$3*$E62</f>
        <v>14.9381700042876</v>
      </c>
      <c r="V62" s="185" t="n">
        <f aca="false">V$3*$E62</f>
        <v>15.684758942313</v>
      </c>
      <c r="W62" s="185" t="n">
        <f aca="false">W$3*$E62</f>
        <v>16.2303383844101</v>
      </c>
      <c r="X62" s="185" t="n">
        <f aca="false">X$3*$E62</f>
        <v>16.6043818355067</v>
      </c>
      <c r="Y62" s="185" t="n">
        <f aca="false">Y$3*$E62</f>
        <v>16.8497384274142</v>
      </c>
      <c r="Z62" s="185" t="n">
        <f aca="false">Z$3*$E62</f>
        <v>17.0060501047312</v>
      </c>
      <c r="AA62" s="185" t="n">
        <f aca="false">AA$3*$E62</f>
        <v>17.1037880011321</v>
      </c>
      <c r="AB62" s="185" t="n">
        <f aca="false">AB$3*$E62</f>
        <v>17.1641881785693</v>
      </c>
      <c r="AC62" s="185" t="n">
        <f aca="false">AC$3*$E62</f>
        <v>17.2012440429489</v>
      </c>
      <c r="AD62" s="219" t="n">
        <f aca="false">Algae_electricity_factor/H62</f>
        <v>0.00159262959656171</v>
      </c>
      <c r="AE62" s="220" t="n">
        <f aca="false">Algae_electricity_factor/I62</f>
        <v>0.00159262959656171</v>
      </c>
      <c r="AF62" s="220" t="n">
        <f aca="false">Algae_electricity_factor/J62</f>
        <v>0.00159262959656171</v>
      </c>
      <c r="AG62" s="220" t="n">
        <f aca="false">Algae_electricity_factor/K62</f>
        <v>0.00159262959656171</v>
      </c>
      <c r="AH62" s="220" t="n">
        <f aca="false">Algae_electricity_factor/L62</f>
        <v>0.00159262959656171</v>
      </c>
      <c r="AI62" s="220" t="n">
        <f aca="false">Algae_electricity_factor/M62</f>
        <v>0.00152051771618946</v>
      </c>
      <c r="AJ62" s="220" t="n">
        <f aca="false">Algae_electricity_factor/N62</f>
        <v>0.00148033414267507</v>
      </c>
      <c r="AK62" s="220" t="n">
        <f aca="false">Algae_electricity_factor/O62</f>
        <v>0.00142300342969462</v>
      </c>
      <c r="AL62" s="220" t="n">
        <f aca="false">Algae_electricity_factor/P62</f>
        <v>0.00134691747133034</v>
      </c>
      <c r="AM62" s="220" t="n">
        <f aca="false">Algae_electricity_factor/Q62</f>
        <v>0.00125508519915935</v>
      </c>
      <c r="AN62" s="220" t="n">
        <f aca="false">Algae_electricity_factor/R62</f>
        <v>0.00115613980235605</v>
      </c>
      <c r="AO62" s="220" t="n">
        <f aca="false">Algae_electricity_factor/S62</f>
        <v>0.00106175306437447</v>
      </c>
      <c r="AP62" s="220" t="n">
        <f aca="false">Algae_electricity_factor/T62</f>
        <v>0.0009816144946955</v>
      </c>
      <c r="AQ62" s="220" t="n">
        <f aca="false">Algae_electricity_factor/U62</f>
        <v>0.000920032179281967</v>
      </c>
      <c r="AR62" s="220" t="n">
        <f aca="false">Algae_electricity_factor/V62</f>
        <v>0.000876238975305697</v>
      </c>
      <c r="AS62" s="220" t="n">
        <f aca="false">Algae_electricity_factor/W62</f>
        <v>0.000846784384774782</v>
      </c>
      <c r="AT62" s="220" t="n">
        <f aca="false">Algae_electricity_factor/X62</f>
        <v>0.000827709049314926</v>
      </c>
      <c r="AU62" s="220" t="n">
        <f aca="false">Algae_electricity_factor/Y62</f>
        <v>0.000815656406936781</v>
      </c>
      <c r="AV62" s="220" t="n">
        <f aca="false">Algae_electricity_factor/Z62</f>
        <v>0.00080815927384018</v>
      </c>
      <c r="AW62" s="220" t="n">
        <f aca="false">Algae_electricity_factor/AA62</f>
        <v>0.00080354112800156</v>
      </c>
      <c r="AX62" s="220" t="n">
        <f aca="false">Algae_electricity_factor/AB62</f>
        <v>0.000800713494896841</v>
      </c>
      <c r="AY62" s="220" t="n">
        <f aca="false">Algae_electricity_factor/AC62</f>
        <v>0.000798988553921658</v>
      </c>
      <c r="AZ62" s="211" t="n">
        <f aca="false">Algae_yield_cost_factor/H62</f>
        <v>0.0881676365126853</v>
      </c>
      <c r="BA62" s="18" t="n">
        <f aca="false">Algae_yield_cost_factor/I62</f>
        <v>0.0881676365126853</v>
      </c>
      <c r="BB62" s="18" t="n">
        <f aca="false">Algae_yield_cost_factor/J62</f>
        <v>0.0881676365126853</v>
      </c>
      <c r="BC62" s="18" t="n">
        <f aca="false">Algae_yield_cost_factor/K62</f>
        <v>0.0881676365126853</v>
      </c>
      <c r="BD62" s="18" t="n">
        <f aca="false">Algae_yield_cost_factor/L62</f>
        <v>0.0881676365126853</v>
      </c>
      <c r="BE62" s="18" t="n">
        <f aca="false">Algae_yield_cost_factor/M62</f>
        <v>0.0841755381172817</v>
      </c>
      <c r="BF62" s="18" t="n">
        <f aca="false">Algae_yield_cost_factor/N62</f>
        <v>0.0819509840144027</v>
      </c>
      <c r="BG62" s="18" t="n">
        <f aca="false">Algae_yield_cost_factor/O62</f>
        <v>0.078777167909273</v>
      </c>
      <c r="BH62" s="18" t="n">
        <f aca="false">Algae_yield_cost_factor/P62</f>
        <v>0.0745650653995222</v>
      </c>
      <c r="BI62" s="18" t="n">
        <f aca="false">Algae_yield_cost_factor/Q62</f>
        <v>0.0694812502987698</v>
      </c>
      <c r="BJ62" s="18" t="n">
        <f aca="false">Algae_yield_cost_factor/R62</f>
        <v>0.0640036541277641</v>
      </c>
      <c r="BK62" s="18" t="n">
        <f aca="false">Algae_yield_cost_factor/S62</f>
        <v>0.0587784243417902</v>
      </c>
      <c r="BL62" s="18" t="n">
        <f aca="false">Algae_yield_cost_factor/T62</f>
        <v>0.0543419701296144</v>
      </c>
      <c r="BM62" s="18" t="n">
        <f aca="false">Algae_yield_cost_factor/U62</f>
        <v>0.0509327862159714</v>
      </c>
      <c r="BN62" s="18" t="n">
        <f aca="false">Algae_yield_cost_factor/V62</f>
        <v>0.0485084037366797</v>
      </c>
      <c r="BO62" s="18" t="n">
        <f aca="false">Algae_yield_cost_factor/W62</f>
        <v>0.0468778038550962</v>
      </c>
      <c r="BP62" s="18" t="n">
        <f aca="false">Algae_yield_cost_factor/X62</f>
        <v>0.0458217973317885</v>
      </c>
      <c r="BQ62" s="18" t="n">
        <f aca="false">Algae_yield_cost_factor/Y62</f>
        <v>0.0451545656072822</v>
      </c>
      <c r="BR62" s="18" t="n">
        <f aca="false">Algae_yield_cost_factor/Z62</f>
        <v>0.0447395259099317</v>
      </c>
      <c r="BS62" s="18" t="n">
        <f aca="false">Algae_yield_cost_factor/AA62</f>
        <v>0.0444838663362675</v>
      </c>
      <c r="BT62" s="18" t="n">
        <f aca="false">Algae_yield_cost_factor/AB62</f>
        <v>0.0443273291676086</v>
      </c>
      <c r="BU62" s="18" t="n">
        <f aca="false">Algae_yield_cost_factor/AC62</f>
        <v>0.0442318368012517</v>
      </c>
    </row>
    <row r="63" customFormat="false" ht="15" hidden="false" customHeight="false" outlineLevel="0" collapsed="false">
      <c r="A63" s="18" t="s">
        <v>699</v>
      </c>
      <c r="B63" s="18" t="s">
        <v>22</v>
      </c>
      <c r="C63" s="18" t="s">
        <v>688</v>
      </c>
      <c r="D63" s="18" t="s">
        <v>688</v>
      </c>
      <c r="E63" s="185" t="n">
        <v>8.283</v>
      </c>
      <c r="F63" s="18" t="n">
        <f aca="false">E63/$B$2*$F$3/1000</f>
        <v>0.02029335</v>
      </c>
      <c r="G63" s="18" t="n">
        <f aca="false">LOOKUP(RIGHT(D63,5),Ref!$C$4:$C$21,Ref!$E$4:$E$21)*$G$3</f>
        <v>4.5</v>
      </c>
      <c r="H63" s="222" t="n">
        <f aca="false">$E63</f>
        <v>8.283</v>
      </c>
      <c r="I63" s="185" t="n">
        <f aca="false">$E63</f>
        <v>8.283</v>
      </c>
      <c r="J63" s="185" t="n">
        <f aca="false">$E63</f>
        <v>8.283</v>
      </c>
      <c r="K63" s="185" t="n">
        <f aca="false">$E63</f>
        <v>8.283</v>
      </c>
      <c r="L63" s="185" t="n">
        <f aca="false">$E63</f>
        <v>8.283</v>
      </c>
      <c r="M63" s="185" t="n">
        <f aca="false">M$3*$E63</f>
        <v>8.67582850752978</v>
      </c>
      <c r="N63" s="185" t="n">
        <f aca="false">N$3*$E63</f>
        <v>8.91133330511596</v>
      </c>
      <c r="O63" s="185" t="n">
        <f aca="false">O$3*$E63</f>
        <v>9.2703578031092</v>
      </c>
      <c r="P63" s="185" t="n">
        <f aca="false">P$3*$E63</f>
        <v>9.79403061368805</v>
      </c>
      <c r="Q63" s="185" t="n">
        <f aca="false">Q$3*$E63</f>
        <v>10.5106417932077</v>
      </c>
      <c r="R63" s="185" t="n">
        <f aca="false">R$3*$E63</f>
        <v>11.410169359655</v>
      </c>
      <c r="S63" s="185" t="n">
        <f aca="false">S$3*$E63</f>
        <v>12.4245</v>
      </c>
      <c r="T63" s="185" t="n">
        <f aca="false">T$3*$E63</f>
        <v>13.438830640345</v>
      </c>
      <c r="U63" s="185" t="n">
        <f aca="false">U$3*$E63</f>
        <v>14.3383582067923</v>
      </c>
      <c r="V63" s="185" t="n">
        <f aca="false">V$3*$E63</f>
        <v>15.054969386312</v>
      </c>
      <c r="W63" s="185" t="n">
        <f aca="false">W$3*$E63</f>
        <v>15.5786421968908</v>
      </c>
      <c r="X63" s="185" t="n">
        <f aca="false">X$3*$E63</f>
        <v>15.937666694884</v>
      </c>
      <c r="Y63" s="185" t="n">
        <f aca="false">Y$3*$E63</f>
        <v>16.1731714924702</v>
      </c>
      <c r="Z63" s="185" t="n">
        <f aca="false">Z$3*$E63</f>
        <v>16.3232067926865</v>
      </c>
      <c r="AA63" s="185" t="n">
        <f aca="false">AA$3*$E63</f>
        <v>16.417020222884</v>
      </c>
      <c r="AB63" s="185" t="n">
        <f aca="false">AB$3*$E63</f>
        <v>16.4749951541908</v>
      </c>
      <c r="AC63" s="185" t="n">
        <f aca="false">AC$3*$E63</f>
        <v>16.5105631157941</v>
      </c>
      <c r="AD63" s="219" t="n">
        <f aca="false">Algae_electricity_factor/H63</f>
        <v>0.00165925354382823</v>
      </c>
      <c r="AE63" s="220" t="n">
        <f aca="false">Algae_electricity_factor/I63</f>
        <v>0.00165925354382823</v>
      </c>
      <c r="AF63" s="220" t="n">
        <f aca="false">Algae_electricity_factor/J63</f>
        <v>0.00165925354382823</v>
      </c>
      <c r="AG63" s="220" t="n">
        <f aca="false">Algae_electricity_factor/K63</f>
        <v>0.00165925354382823</v>
      </c>
      <c r="AH63" s="220" t="n">
        <f aca="false">Algae_electricity_factor/L63</f>
        <v>0.00165925354382823</v>
      </c>
      <c r="AI63" s="220" t="n">
        <f aca="false">Algae_electricity_factor/M63</f>
        <v>0.00158412503101014</v>
      </c>
      <c r="AJ63" s="220" t="n">
        <f aca="false">Algae_electricity_factor/N63</f>
        <v>0.00154226047135271</v>
      </c>
      <c r="AK63" s="220" t="n">
        <f aca="false">Algae_electricity_factor/O63</f>
        <v>0.00148253146161411</v>
      </c>
      <c r="AL63" s="220" t="n">
        <f aca="false">Algae_electricity_factor/P63</f>
        <v>0.00140326262451348</v>
      </c>
      <c r="AM63" s="220" t="n">
        <f aca="false">Algae_electricity_factor/Q63</f>
        <v>0.00130758876326761</v>
      </c>
      <c r="AN63" s="220" t="n">
        <f aca="false">Algae_electricity_factor/R63</f>
        <v>0.00120450421639883</v>
      </c>
      <c r="AO63" s="220" t="n">
        <f aca="false">Algae_electricity_factor/S63</f>
        <v>0.00110616902921882</v>
      </c>
      <c r="AP63" s="220" t="n">
        <f aca="false">Algae_electricity_factor/T63</f>
        <v>0.00102267804925448</v>
      </c>
      <c r="AQ63" s="220" t="n">
        <f aca="false">Algae_electricity_factor/U63</f>
        <v>0.000958519581204121</v>
      </c>
      <c r="AR63" s="220" t="n">
        <f aca="false">Algae_electricity_factor/V63</f>
        <v>0.00091289439060733</v>
      </c>
      <c r="AS63" s="220" t="n">
        <f aca="false">Algae_electricity_factor/W63</f>
        <v>0.000882207635930699</v>
      </c>
      <c r="AT63" s="220" t="n">
        <f aca="false">Algae_electricity_factor/X63</f>
        <v>0.000862334328270331</v>
      </c>
      <c r="AU63" s="220" t="n">
        <f aca="false">Algae_electricity_factor/Y63</f>
        <v>0.000849777491689116</v>
      </c>
      <c r="AV63" s="220" t="n">
        <f aca="false">Algae_electricity_factor/Z63</f>
        <v>0.000841966733502817</v>
      </c>
      <c r="AW63" s="220" t="n">
        <f aca="false">Algae_electricity_factor/AA63</f>
        <v>0.000837155398296446</v>
      </c>
      <c r="AX63" s="220" t="n">
        <f aca="false">Algae_electricity_factor/AB63</f>
        <v>0.000834209477751091</v>
      </c>
      <c r="AY63" s="220" t="n">
        <f aca="false">Algae_electricity_factor/AC63</f>
        <v>0.000832412377890492</v>
      </c>
      <c r="AZ63" s="211" t="n">
        <f aca="false">Algae_yield_cost_factor/H63</f>
        <v>0.0918559240958853</v>
      </c>
      <c r="BA63" s="18" t="n">
        <f aca="false">Algae_yield_cost_factor/I63</f>
        <v>0.0918559240958853</v>
      </c>
      <c r="BB63" s="18" t="n">
        <f aca="false">Algae_yield_cost_factor/J63</f>
        <v>0.0918559240958853</v>
      </c>
      <c r="BC63" s="18" t="n">
        <f aca="false">Algae_yield_cost_factor/K63</f>
        <v>0.0918559240958853</v>
      </c>
      <c r="BD63" s="18" t="n">
        <f aca="false">Algae_yield_cost_factor/L63</f>
        <v>0.0918559240958853</v>
      </c>
      <c r="BE63" s="18" t="n">
        <f aca="false">Algae_yield_cost_factor/M63</f>
        <v>0.087696825568403</v>
      </c>
      <c r="BF63" s="18" t="n">
        <f aca="false">Algae_yield_cost_factor/N63</f>
        <v>0.0853792124293478</v>
      </c>
      <c r="BG63" s="18" t="n">
        <f aca="false">Algae_yield_cost_factor/O63</f>
        <v>0.0820726271246011</v>
      </c>
      <c r="BH63" s="18" t="n">
        <f aca="false">Algae_yield_cost_factor/P63</f>
        <v>0.0776843211234066</v>
      </c>
      <c r="BI63" s="18" t="n">
        <f aca="false">Algae_yield_cost_factor/Q63</f>
        <v>0.0723878364666466</v>
      </c>
      <c r="BJ63" s="18" t="n">
        <f aca="false">Algae_yield_cost_factor/R63</f>
        <v>0.0666810978263359</v>
      </c>
      <c r="BK63" s="18" t="n">
        <f aca="false">Algae_yield_cost_factor/S63</f>
        <v>0.0612372827305902</v>
      </c>
      <c r="BL63" s="18" t="n">
        <f aca="false">Algae_yield_cost_factor/T63</f>
        <v>0.0566152397963911</v>
      </c>
      <c r="BM63" s="18" t="n">
        <f aca="false">Algae_yield_cost_factor/U63</f>
        <v>0.0530634406194283</v>
      </c>
      <c r="BN63" s="18" t="n">
        <f aca="false">Algae_yield_cost_factor/V63</f>
        <v>0.0505376397495686</v>
      </c>
      <c r="BO63" s="18" t="n">
        <f aca="false">Algae_yield_cost_factor/W63</f>
        <v>0.0488388275223413</v>
      </c>
      <c r="BP63" s="18" t="n">
        <f aca="false">Algae_yield_cost_factor/X63</f>
        <v>0.0477386454273414</v>
      </c>
      <c r="BQ63" s="18" t="n">
        <f aca="false">Algae_yield_cost_factor/Y63</f>
        <v>0.0470435016187422</v>
      </c>
      <c r="BR63" s="18" t="n">
        <f aca="false">Algae_yield_cost_factor/Z63</f>
        <v>0.0466110997029767</v>
      </c>
      <c r="BS63" s="18" t="n">
        <f aca="false">Algae_yield_cost_factor/AA63</f>
        <v>0.0463447452069082</v>
      </c>
      <c r="BT63" s="18" t="n">
        <f aca="false">Algae_yield_cost_factor/AB63</f>
        <v>0.0461816596706361</v>
      </c>
      <c r="BU63" s="18" t="n">
        <f aca="false">Algae_yield_cost_factor/AC63</f>
        <v>0.0460821726036945</v>
      </c>
    </row>
    <row r="64" customFormat="false" ht="15" hidden="false" customHeight="false" outlineLevel="0" collapsed="false">
      <c r="A64" s="18" t="s">
        <v>700</v>
      </c>
      <c r="B64" s="18" t="s">
        <v>22</v>
      </c>
      <c r="C64" s="18" t="s">
        <v>690</v>
      </c>
      <c r="D64" s="18" t="s">
        <v>690</v>
      </c>
      <c r="E64" s="185" t="n">
        <v>8.679</v>
      </c>
      <c r="F64" s="18" t="n">
        <f aca="false">E64/$B$2*$F$3/1000</f>
        <v>0.02126355</v>
      </c>
      <c r="G64" s="18" t="n">
        <f aca="false">LOOKUP(RIGHT(D64,5),Ref!$C$4:$C$21,Ref!$E$4:$E$21)*$G$3</f>
        <v>1.5</v>
      </c>
      <c r="H64" s="222" t="n">
        <f aca="false">$E64</f>
        <v>8.679</v>
      </c>
      <c r="I64" s="185" t="n">
        <f aca="false">$E64</f>
        <v>8.679</v>
      </c>
      <c r="J64" s="185" t="n">
        <f aca="false">$E64</f>
        <v>8.679</v>
      </c>
      <c r="K64" s="185" t="n">
        <f aca="false">$E64</f>
        <v>8.679</v>
      </c>
      <c r="L64" s="185" t="n">
        <f aca="false">$E64</f>
        <v>8.679</v>
      </c>
      <c r="M64" s="185" t="n">
        <f aca="false">M$3*$E64</f>
        <v>9.0906091533081</v>
      </c>
      <c r="N64" s="185" t="n">
        <f aca="false">N$3*$E64</f>
        <v>9.33737314440437</v>
      </c>
      <c r="O64" s="185" t="n">
        <f aca="false">O$3*$E64</f>
        <v>9.71356216022996</v>
      </c>
      <c r="P64" s="185" t="n">
        <f aca="false">P$3*$E64</f>
        <v>10.2622711211154</v>
      </c>
      <c r="Q64" s="185" t="n">
        <f aca="false">Q$3*$E64</f>
        <v>11.0131425960702</v>
      </c>
      <c r="R64" s="185" t="n">
        <f aca="false">R$3*$E64</f>
        <v>11.9556754644991</v>
      </c>
      <c r="S64" s="185" t="n">
        <f aca="false">S$3*$E64</f>
        <v>13.0185</v>
      </c>
      <c r="T64" s="185" t="n">
        <f aca="false">T$3*$E64</f>
        <v>14.0813245355009</v>
      </c>
      <c r="U64" s="185" t="n">
        <f aca="false">U$3*$E64</f>
        <v>15.0238574039298</v>
      </c>
      <c r="V64" s="185" t="n">
        <f aca="false">V$3*$E64</f>
        <v>15.7747288788846</v>
      </c>
      <c r="W64" s="185" t="n">
        <f aca="false">W$3*$E64</f>
        <v>16.32343783977</v>
      </c>
      <c r="X64" s="185" t="n">
        <f aca="false">X$3*$E64</f>
        <v>16.6996268555956</v>
      </c>
      <c r="Y64" s="185" t="n">
        <f aca="false">Y$3*$E64</f>
        <v>16.9463908466919</v>
      </c>
      <c r="Z64" s="185" t="n">
        <f aca="false">Z$3*$E64</f>
        <v>17.103599149309</v>
      </c>
      <c r="AA64" s="185" t="n">
        <f aca="false">AA$3*$E64</f>
        <v>17.201897683739</v>
      </c>
      <c r="AB64" s="185" t="n">
        <f aca="false">AB$3*$E64</f>
        <v>17.2626443249091</v>
      </c>
      <c r="AC64" s="185" t="n">
        <f aca="false">AC$3*$E64</f>
        <v>17.2999127468281</v>
      </c>
      <c r="AD64" s="219" t="n">
        <f aca="false">Algae_electricity_factor/H64</f>
        <v>0.00158354615779805</v>
      </c>
      <c r="AE64" s="220" t="n">
        <f aca="false">Algae_electricity_factor/I64</f>
        <v>0.00158354615779805</v>
      </c>
      <c r="AF64" s="220" t="n">
        <f aca="false">Algae_electricity_factor/J64</f>
        <v>0.00158354615779805</v>
      </c>
      <c r="AG64" s="220" t="n">
        <f aca="false">Algae_electricity_factor/K64</f>
        <v>0.00158354615779805</v>
      </c>
      <c r="AH64" s="220" t="n">
        <f aca="false">Algae_electricity_factor/L64</f>
        <v>0.00158354615779805</v>
      </c>
      <c r="AI64" s="220" t="n">
        <f aca="false">Algae_electricity_factor/M64</f>
        <v>0.00151184556191462</v>
      </c>
      <c r="AJ64" s="220" t="n">
        <f aca="false">Algae_electricity_factor/N64</f>
        <v>0.00147189117227958</v>
      </c>
      <c r="AK64" s="220" t="n">
        <f aca="false">Algae_electricity_factor/O64</f>
        <v>0.00141488744055187</v>
      </c>
      <c r="AL64" s="220" t="n">
        <f aca="false">Algae_electricity_factor/P64</f>
        <v>0.00133923543252047</v>
      </c>
      <c r="AM64" s="220" t="n">
        <f aca="false">Algae_electricity_factor/Q64</f>
        <v>0.00124792691855578</v>
      </c>
      <c r="AN64" s="220" t="n">
        <f aca="false">Algae_electricity_factor/R64</f>
        <v>0.00114954584911067</v>
      </c>
      <c r="AO64" s="220" t="n">
        <f aca="false">Algae_electricity_factor/S64</f>
        <v>0.00105569743853203</v>
      </c>
      <c r="AP64" s="220" t="n">
        <f aca="false">Algae_electricity_factor/T64</f>
        <v>0.000976015932938682</v>
      </c>
      <c r="AQ64" s="220" t="n">
        <f aca="false">Algae_electricity_factor/U64</f>
        <v>0.000914784847460967</v>
      </c>
      <c r="AR64" s="220" t="n">
        <f aca="false">Algae_electricity_factor/V64</f>
        <v>0.000871241414610038</v>
      </c>
      <c r="AS64" s="220" t="n">
        <f aca="false">Algae_electricity_factor/W64</f>
        <v>0.000841954816040325</v>
      </c>
      <c r="AT64" s="220" t="n">
        <f aca="false">Algae_electricity_factor/X64</f>
        <v>0.000822988275269404</v>
      </c>
      <c r="AU64" s="220" t="n">
        <f aca="false">Algae_electricity_factor/Y64</f>
        <v>0.000811004374197598</v>
      </c>
      <c r="AV64" s="220" t="n">
        <f aca="false">Algae_electricity_factor/Z64</f>
        <v>0.000803550000415236</v>
      </c>
      <c r="AW64" s="220" t="n">
        <f aca="false">Algae_electricity_factor/AA64</f>
        <v>0.000798958193811437</v>
      </c>
      <c r="AX64" s="220" t="n">
        <f aca="false">Algae_electricity_factor/AB64</f>
        <v>0.000796146687891726</v>
      </c>
      <c r="AY64" s="220" t="n">
        <f aca="false">Algae_electricity_factor/AC64</f>
        <v>0.000794431584982941</v>
      </c>
      <c r="AZ64" s="211" t="n">
        <f aca="false">Algae_yield_cost_factor/H64</f>
        <v>0.0876647792702175</v>
      </c>
      <c r="BA64" s="18" t="n">
        <f aca="false">Algae_yield_cost_factor/I64</f>
        <v>0.0876647792702175</v>
      </c>
      <c r="BB64" s="18" t="n">
        <f aca="false">Algae_yield_cost_factor/J64</f>
        <v>0.0876647792702175</v>
      </c>
      <c r="BC64" s="18" t="n">
        <f aca="false">Algae_yield_cost_factor/K64</f>
        <v>0.0876647792702175</v>
      </c>
      <c r="BD64" s="18" t="n">
        <f aca="false">Algae_yield_cost_factor/L64</f>
        <v>0.0876647792702175</v>
      </c>
      <c r="BE64" s="18" t="n">
        <f aca="false">Algae_yield_cost_factor/M64</f>
        <v>0.0836954494968409</v>
      </c>
      <c r="BF64" s="18" t="n">
        <f aca="false">Algae_yield_cost_factor/N64</f>
        <v>0.0814835829648909</v>
      </c>
      <c r="BG64" s="18" t="n">
        <f aca="false">Algae_yield_cost_factor/O64</f>
        <v>0.0783278684725281</v>
      </c>
      <c r="BH64" s="18" t="n">
        <f aca="false">Algae_yield_cost_factor/P64</f>
        <v>0.0741397893611219</v>
      </c>
      <c r="BI64" s="18" t="n">
        <f aca="false">Algae_yield_cost_factor/Q64</f>
        <v>0.0690849694035296</v>
      </c>
      <c r="BJ64" s="18" t="n">
        <f aca="false">Algae_yield_cost_factor/R64</f>
        <v>0.0636386142753243</v>
      </c>
      <c r="BK64" s="18" t="n">
        <f aca="false">Algae_yield_cost_factor/S64</f>
        <v>0.058443186180145</v>
      </c>
      <c r="BL64" s="18" t="n">
        <f aca="false">Algae_yield_cost_factor/T64</f>
        <v>0.0540320349387611</v>
      </c>
      <c r="BM64" s="18" t="n">
        <f aca="false">Algae_yield_cost_factor/U64</f>
        <v>0.0506422950398347</v>
      </c>
      <c r="BN64" s="18" t="n">
        <f aca="false">Algae_yield_cost_factor/V64</f>
        <v>0.0482317398370408</v>
      </c>
      <c r="BO64" s="18" t="n">
        <f aca="false">Algae_yield_cost_factor/W64</f>
        <v>0.046610439954782</v>
      </c>
      <c r="BP64" s="18" t="n">
        <f aca="false">Algae_yield_cost_factor/X64</f>
        <v>0.0455604562823677</v>
      </c>
      <c r="BQ64" s="18" t="n">
        <f aca="false">Algae_yield_cost_factor/Y64</f>
        <v>0.0448970300619935</v>
      </c>
      <c r="BR64" s="18" t="n">
        <f aca="false">Algae_yield_cost_factor/Z64</f>
        <v>0.0444843575112059</v>
      </c>
      <c r="BS64" s="18" t="n">
        <f aca="false">Algae_yield_cost_factor/AA64</f>
        <v>0.0442301560719922</v>
      </c>
      <c r="BT64" s="18" t="n">
        <f aca="false">Algae_yield_cost_factor/AB64</f>
        <v>0.0440745117008732</v>
      </c>
      <c r="BU64" s="18" t="n">
        <f aca="false">Algae_yield_cost_factor/AC64</f>
        <v>0.0439795639677845</v>
      </c>
    </row>
    <row r="65" customFormat="false" ht="15" hidden="false" customHeight="false" outlineLevel="0" collapsed="false">
      <c r="A65" s="18" t="s">
        <v>700</v>
      </c>
      <c r="B65" s="18" t="s">
        <v>22</v>
      </c>
      <c r="C65" s="18" t="s">
        <v>691</v>
      </c>
      <c r="D65" s="18" t="s">
        <v>691</v>
      </c>
      <c r="E65" s="185" t="n">
        <v>8.3985</v>
      </c>
      <c r="F65" s="18" t="n">
        <f aca="false">E65/$B$2*$F$3/1000</f>
        <v>0.020576325</v>
      </c>
      <c r="G65" s="18" t="n">
        <f aca="false">LOOKUP(RIGHT(D65,5),Ref!$C$4:$C$21,Ref!$E$4:$E$21)*$G$3</f>
        <v>2</v>
      </c>
      <c r="H65" s="222" t="n">
        <f aca="false">$E65</f>
        <v>8.3985</v>
      </c>
      <c r="I65" s="185" t="n">
        <f aca="false">$E65</f>
        <v>8.3985</v>
      </c>
      <c r="J65" s="185" t="n">
        <f aca="false">$E65</f>
        <v>8.3985</v>
      </c>
      <c r="K65" s="185" t="n">
        <f aca="false">$E65</f>
        <v>8.3985</v>
      </c>
      <c r="L65" s="185" t="n">
        <f aca="false">$E65</f>
        <v>8.3985</v>
      </c>
      <c r="M65" s="185" t="n">
        <f aca="false">M$3*$E65</f>
        <v>8.79680619588179</v>
      </c>
      <c r="N65" s="185" t="n">
        <f aca="false">N$3*$E65</f>
        <v>9.03559492490841</v>
      </c>
      <c r="O65" s="185" t="n">
        <f aca="false">O$3*$E65</f>
        <v>9.39962574060275</v>
      </c>
      <c r="P65" s="185" t="n">
        <f aca="false">P$3*$E65</f>
        <v>9.93060076168768</v>
      </c>
      <c r="Q65" s="185" t="n">
        <f aca="false">Q$3*$E65</f>
        <v>10.6572045273759</v>
      </c>
      <c r="R65" s="185" t="n">
        <f aca="false">R$3*$E65</f>
        <v>11.5692753069012</v>
      </c>
      <c r="S65" s="185" t="n">
        <f aca="false">S$3*$E65</f>
        <v>12.59775</v>
      </c>
      <c r="T65" s="185" t="n">
        <f aca="false">T$3*$E65</f>
        <v>13.6262246930988</v>
      </c>
      <c r="U65" s="185" t="n">
        <f aca="false">U$3*$E65</f>
        <v>14.5382954726241</v>
      </c>
      <c r="V65" s="185" t="n">
        <f aca="false">V$3*$E65</f>
        <v>15.2648992383123</v>
      </c>
      <c r="W65" s="185" t="n">
        <f aca="false">W$3*$E65</f>
        <v>15.7958742593972</v>
      </c>
      <c r="X65" s="185" t="n">
        <f aca="false">X$3*$E65</f>
        <v>16.1599050750916</v>
      </c>
      <c r="Y65" s="185" t="n">
        <f aca="false">Y$3*$E65</f>
        <v>16.3986938041182</v>
      </c>
      <c r="Z65" s="185" t="n">
        <f aca="false">Z$3*$E65</f>
        <v>16.5508212300347</v>
      </c>
      <c r="AA65" s="185" t="n">
        <f aca="false">AA$3*$E65</f>
        <v>16.6459428156334</v>
      </c>
      <c r="AB65" s="185" t="n">
        <f aca="false">AB$3*$E65</f>
        <v>16.704726162317</v>
      </c>
      <c r="AC65" s="185" t="n">
        <f aca="false">AC$3*$E65</f>
        <v>16.7407900915124</v>
      </c>
      <c r="AD65" s="219" t="n">
        <f aca="false">Algae_electricity_factor/H65</f>
        <v>0.00163643473281291</v>
      </c>
      <c r="AE65" s="220" t="n">
        <f aca="false">Algae_electricity_factor/I65</f>
        <v>0.00163643473281291</v>
      </c>
      <c r="AF65" s="220" t="n">
        <f aca="false">Algae_electricity_factor/J65</f>
        <v>0.00163643473281291</v>
      </c>
      <c r="AG65" s="220" t="n">
        <f aca="false">Algae_electricity_factor/K65</f>
        <v>0.00163643473281291</v>
      </c>
      <c r="AH65" s="220" t="n">
        <f aca="false">Algae_electricity_factor/L65</f>
        <v>0.00163643473281291</v>
      </c>
      <c r="AI65" s="220" t="n">
        <f aca="false">Algae_electricity_factor/M65</f>
        <v>0.00156233942154634</v>
      </c>
      <c r="AJ65" s="220" t="n">
        <f aca="false">Algae_electricity_factor/N65</f>
        <v>0.00152105060239501</v>
      </c>
      <c r="AK65" s="220" t="n">
        <f aca="false">Algae_electricity_factor/O65</f>
        <v>0.00146214301322256</v>
      </c>
      <c r="AL65" s="220" t="n">
        <f aca="false">Algae_electricity_factor/P65</f>
        <v>0.00138396431730013</v>
      </c>
      <c r="AM65" s="220" t="n">
        <f aca="false">Algae_electricity_factor/Q65</f>
        <v>0.00128960620660185</v>
      </c>
      <c r="AN65" s="220" t="n">
        <f aca="false">Algae_electricity_factor/R65</f>
        <v>0.0011879393254071</v>
      </c>
      <c r="AO65" s="220" t="n">
        <f aca="false">Algae_electricity_factor/S65</f>
        <v>0.00109095648854194</v>
      </c>
      <c r="AP65" s="220" t="n">
        <f aca="false">Algae_electricity_factor/T65</f>
        <v>0.00100861371458889</v>
      </c>
      <c r="AQ65" s="220" t="n">
        <f aca="false">Algae_electricity_factor/U65</f>
        <v>0.00094533758303432</v>
      </c>
      <c r="AR65" s="220" t="n">
        <f aca="false">Algae_electricity_factor/V65</f>
        <v>0.000900339850854381</v>
      </c>
      <c r="AS65" s="220" t="n">
        <f aca="false">Algae_electricity_factor/W65</f>
        <v>0.000870075114414952</v>
      </c>
      <c r="AT65" s="220" t="n">
        <f aca="false">Algae_electricity_factor/X65</f>
        <v>0.000850475113539698</v>
      </c>
      <c r="AU65" s="220" t="n">
        <f aca="false">Algae_electricity_factor/Y65</f>
        <v>0.0008380909642985</v>
      </c>
      <c r="AV65" s="220" t="n">
        <f aca="false">Algae_electricity_factor/Z65</f>
        <v>0.000830387623218888</v>
      </c>
      <c r="AW65" s="220" t="n">
        <f aca="false">Algae_electricity_factor/AA65</f>
        <v>0.000825642455687261</v>
      </c>
      <c r="AX65" s="220" t="n">
        <f aca="false">Algae_electricity_factor/AB65</f>
        <v>0.000822737048783984</v>
      </c>
      <c r="AY65" s="220" t="n">
        <f aca="false">Algae_electricity_factor/AC65</f>
        <v>0.000820964663459778</v>
      </c>
      <c r="AZ65" s="211" t="n">
        <f aca="false">Algae_yield_cost_factor/H65</f>
        <v>0.0905926795601855</v>
      </c>
      <c r="BA65" s="18" t="n">
        <f aca="false">Algae_yield_cost_factor/I65</f>
        <v>0.0905926795601855</v>
      </c>
      <c r="BB65" s="18" t="n">
        <f aca="false">Algae_yield_cost_factor/J65</f>
        <v>0.0905926795601855</v>
      </c>
      <c r="BC65" s="18" t="n">
        <f aca="false">Algae_yield_cost_factor/K65</f>
        <v>0.0905926795601855</v>
      </c>
      <c r="BD65" s="18" t="n">
        <f aca="false">Algae_yield_cost_factor/L65</f>
        <v>0.0905926795601855</v>
      </c>
      <c r="BE65" s="18" t="n">
        <f aca="false">Algae_yield_cost_factor/M65</f>
        <v>0.0864907788513523</v>
      </c>
      <c r="BF65" s="18" t="n">
        <f aca="false">Algae_yield_cost_factor/N65</f>
        <v>0.0842050385845434</v>
      </c>
      <c r="BG65" s="18" t="n">
        <f aca="false">Algae_yield_cost_factor/O65</f>
        <v>0.0809439269480349</v>
      </c>
      <c r="BH65" s="18" t="n">
        <f aca="false">Algae_yield_cost_factor/P65</f>
        <v>0.0766159709311397</v>
      </c>
      <c r="BI65" s="18" t="n">
        <f aca="false">Algae_yield_cost_factor/Q65</f>
        <v>0.0713923259454943</v>
      </c>
      <c r="BJ65" s="18" t="n">
        <f aca="false">Algae_yield_cost_factor/R65</f>
        <v>0.0657640689760719</v>
      </c>
      <c r="BK65" s="18" t="n">
        <f aca="false">Algae_yield_cost_factor/S65</f>
        <v>0.0603951197067903</v>
      </c>
      <c r="BL65" s="18" t="n">
        <f aca="false">Algae_yield_cost_factor/T65</f>
        <v>0.0558366412137295</v>
      </c>
      <c r="BM65" s="18" t="n">
        <f aca="false">Algae_yield_cost_factor/U65</f>
        <v>0.0523336879979431</v>
      </c>
      <c r="BN65" s="18" t="n">
        <f aca="false">Algae_yield_cost_factor/V65</f>
        <v>0.0498426230928948</v>
      </c>
      <c r="BO65" s="18" t="n">
        <f aca="false">Algae_yield_cost_factor/W65</f>
        <v>0.0481671737057276</v>
      </c>
      <c r="BP65" s="18" t="n">
        <f aca="false">Algae_yield_cost_factor/X65</f>
        <v>0.0470821218163564</v>
      </c>
      <c r="BQ65" s="18" t="n">
        <f aca="false">Algae_yield_cost_factor/Y65</f>
        <v>0.0463965379422566</v>
      </c>
      <c r="BR65" s="18" t="n">
        <f aca="false">Algae_yield_cost_factor/Z65</f>
        <v>0.0459700826147236</v>
      </c>
      <c r="BS65" s="18" t="n">
        <f aca="false">Algae_yield_cost_factor/AA65</f>
        <v>0.0457073911470882</v>
      </c>
      <c r="BT65" s="18" t="n">
        <f aca="false">Algae_yield_cost_factor/AB65</f>
        <v>0.0455465484374446</v>
      </c>
      <c r="BU65" s="18" t="n">
        <f aca="false">Algae_yield_cost_factor/AC65</f>
        <v>0.0454484295619934</v>
      </c>
    </row>
    <row r="66" customFormat="false" ht="15" hidden="false" customHeight="false" outlineLevel="0" collapsed="false">
      <c r="A66" s="18" t="s">
        <v>700</v>
      </c>
      <c r="B66" s="18" t="s">
        <v>22</v>
      </c>
      <c r="C66" s="18" t="s">
        <v>692</v>
      </c>
      <c r="D66" s="18" t="s">
        <v>692</v>
      </c>
      <c r="E66" s="185" t="n">
        <v>8.88525</v>
      </c>
      <c r="F66" s="18" t="n">
        <f aca="false">E66/$B$2*$F$3/1000</f>
        <v>0.0217688625</v>
      </c>
      <c r="G66" s="18" t="n">
        <f aca="false">LOOKUP(RIGHT(D66,5),Ref!$C$4:$C$21,Ref!$E$4:$E$21)*$G$3</f>
        <v>2.5</v>
      </c>
      <c r="H66" s="222" t="n">
        <f aca="false">$E66</f>
        <v>8.88525</v>
      </c>
      <c r="I66" s="185" t="n">
        <f aca="false">$E66</f>
        <v>8.88525</v>
      </c>
      <c r="J66" s="185" t="n">
        <f aca="false">$E66</f>
        <v>8.88525</v>
      </c>
      <c r="K66" s="185" t="n">
        <f aca="false">$E66</f>
        <v>8.88525</v>
      </c>
      <c r="L66" s="185" t="n">
        <f aca="false">$E66</f>
        <v>8.88525</v>
      </c>
      <c r="M66" s="185" t="n">
        <f aca="false">M$3*$E66</f>
        <v>9.30664073965098</v>
      </c>
      <c r="N66" s="185" t="n">
        <f aca="false">N$3*$E66</f>
        <v>9.55926889403375</v>
      </c>
      <c r="O66" s="185" t="n">
        <f aca="false">O$3*$E66</f>
        <v>9.94439776289702</v>
      </c>
      <c r="P66" s="185" t="n">
        <f aca="false">P$3*$E66</f>
        <v>10.5061463854004</v>
      </c>
      <c r="Q66" s="185" t="n">
        <f aca="false">Q$3*$E66</f>
        <v>11.2748617642277</v>
      </c>
      <c r="R66" s="185" t="n">
        <f aca="false">R$3*$E66</f>
        <v>12.2397932274387</v>
      </c>
      <c r="S66" s="185" t="n">
        <f aca="false">S$3*$E66</f>
        <v>13.327875</v>
      </c>
      <c r="T66" s="185" t="n">
        <f aca="false">T$3*$E66</f>
        <v>14.4159567725613</v>
      </c>
      <c r="U66" s="185" t="n">
        <f aca="false">U$3*$E66</f>
        <v>15.3808882357722</v>
      </c>
      <c r="V66" s="185" t="n">
        <f aca="false">V$3*$E66</f>
        <v>16.1496036145996</v>
      </c>
      <c r="W66" s="185" t="n">
        <f aca="false">W$3*$E66</f>
        <v>16.711352237103</v>
      </c>
      <c r="X66" s="185" t="n">
        <f aca="false">X$3*$E66</f>
        <v>17.0964811059662</v>
      </c>
      <c r="Y66" s="185" t="n">
        <f aca="false">Y$3*$E66</f>
        <v>17.349109260349</v>
      </c>
      <c r="Z66" s="185" t="n">
        <f aca="false">Z$3*$E66</f>
        <v>17.5100535017165</v>
      </c>
      <c r="AA66" s="185" t="n">
        <f aca="false">AA$3*$E66</f>
        <v>17.6106880279343</v>
      </c>
      <c r="AB66" s="185" t="n">
        <f aca="false">AB$3*$E66</f>
        <v>17.6728782679915</v>
      </c>
      <c r="AC66" s="185" t="n">
        <f aca="false">AC$3*$E66</f>
        <v>17.711032346325</v>
      </c>
      <c r="AD66" s="219" t="n">
        <f aca="false">Algae_electricity_factor/H66</f>
        <v>0.00154678789043969</v>
      </c>
      <c r="AE66" s="220" t="n">
        <f aca="false">Algae_electricity_factor/I66</f>
        <v>0.00154678789043969</v>
      </c>
      <c r="AF66" s="220" t="n">
        <f aca="false">Algae_electricity_factor/J66</f>
        <v>0.00154678789043969</v>
      </c>
      <c r="AG66" s="220" t="n">
        <f aca="false">Algae_electricity_factor/K66</f>
        <v>0.00154678789043969</v>
      </c>
      <c r="AH66" s="220" t="n">
        <f aca="false">Algae_electricity_factor/L66</f>
        <v>0.00154678789043969</v>
      </c>
      <c r="AI66" s="220" t="n">
        <f aca="false">Algae_electricity_factor/M66</f>
        <v>0.00147675165379218</v>
      </c>
      <c r="AJ66" s="220" t="n">
        <f aca="false">Algae_electricity_factor/N66</f>
        <v>0.0014377247105275</v>
      </c>
      <c r="AK66" s="220" t="n">
        <f aca="false">Algae_electricity_factor/O66</f>
        <v>0.00138204418520016</v>
      </c>
      <c r="AL66" s="220" t="n">
        <f aca="false">Algae_electricity_factor/P66</f>
        <v>0.00130814825906363</v>
      </c>
      <c r="AM66" s="220" t="n">
        <f aca="false">Algae_electricity_factor/Q66</f>
        <v>0.00121895925563666</v>
      </c>
      <c r="AN66" s="220" t="n">
        <f aca="false">Algae_electricity_factor/R66</f>
        <v>0.0011228618693263</v>
      </c>
      <c r="AO66" s="220" t="n">
        <f aca="false">Algae_electricity_factor/S66</f>
        <v>0.00103119192695979</v>
      </c>
      <c r="AP66" s="220" t="n">
        <f aca="false">Algae_electricity_factor/T66</f>
        <v>0.000953360038487923</v>
      </c>
      <c r="AQ66" s="220" t="n">
        <f aca="false">Algae_electricity_factor/U66</f>
        <v>0.0008935502873992</v>
      </c>
      <c r="AR66" s="220" t="n">
        <f aca="false">Algae_electricity_factor/V66</f>
        <v>0.000851017612042488</v>
      </c>
      <c r="AS66" s="220" t="n">
        <f aca="false">Algae_electricity_factor/W66</f>
        <v>0.000822410832381079</v>
      </c>
      <c r="AT66" s="220" t="n">
        <f aca="false">Algae_electricity_factor/X66</f>
        <v>0.00080388455485925</v>
      </c>
      <c r="AU66" s="220" t="n">
        <f aca="false">Algae_electricity_factor/Y66</f>
        <v>0.000792178831621052</v>
      </c>
      <c r="AV66" s="220" t="n">
        <f aca="false">Algae_electricity_factor/Z66</f>
        <v>0.000784897493441809</v>
      </c>
      <c r="AW66" s="220" t="n">
        <f aca="false">Algae_electricity_factor/AA66</f>
        <v>0.000780412274735034</v>
      </c>
      <c r="AX66" s="220" t="n">
        <f aca="false">Algae_electricity_factor/AB66</f>
        <v>0.000777666031255427</v>
      </c>
      <c r="AY66" s="220" t="n">
        <f aca="false">Algae_electricity_factor/AC66</f>
        <v>0.000775990740391879</v>
      </c>
      <c r="AZ66" s="211" t="n">
        <f aca="false">Algae_yield_cost_factor/H66</f>
        <v>0.0856298493892932</v>
      </c>
      <c r="BA66" s="18" t="n">
        <f aca="false">Algae_yield_cost_factor/I66</f>
        <v>0.0856298493892932</v>
      </c>
      <c r="BB66" s="18" t="n">
        <f aca="false">Algae_yield_cost_factor/J66</f>
        <v>0.0856298493892932</v>
      </c>
      <c r="BC66" s="18" t="n">
        <f aca="false">Algae_yield_cost_factor/K66</f>
        <v>0.0856298493892932</v>
      </c>
      <c r="BD66" s="18" t="n">
        <f aca="false">Algae_yield_cost_factor/L66</f>
        <v>0.0856298493892932</v>
      </c>
      <c r="BE66" s="18" t="n">
        <f aca="false">Algae_yield_cost_factor/M66</f>
        <v>0.0817526581900433</v>
      </c>
      <c r="BF66" s="18" t="n">
        <f aca="false">Algae_yield_cost_factor/N66</f>
        <v>0.079592134892354</v>
      </c>
      <c r="BG66" s="18" t="n">
        <f aca="false">Algae_yield_cost_factor/O66</f>
        <v>0.0765096728255335</v>
      </c>
      <c r="BH66" s="18" t="n">
        <f aca="false">Algae_yield_cost_factor/P66</f>
        <v>0.0724188100351906</v>
      </c>
      <c r="BI66" s="18" t="n">
        <f aca="false">Algae_yield_cost_factor/Q66</f>
        <v>0.06748132573121</v>
      </c>
      <c r="BJ66" s="18" t="n">
        <f aca="false">Algae_yield_cost_factor/R66</f>
        <v>0.0621613948167514</v>
      </c>
      <c r="BK66" s="18" t="n">
        <f aca="false">Algae_yield_cost_factor/S66</f>
        <v>0.0570865662595288</v>
      </c>
      <c r="BL66" s="18" t="n">
        <f aca="false">Algae_yield_cost_factor/T66</f>
        <v>0.0527778094295048</v>
      </c>
      <c r="BM66" s="18" t="n">
        <f aca="false">Algae_yield_cost_factor/U66</f>
        <v>0.0494667543007484</v>
      </c>
      <c r="BN66" s="18" t="n">
        <f aca="false">Algae_yield_cost_factor/V66</f>
        <v>0.0471121544183537</v>
      </c>
      <c r="BO66" s="18" t="n">
        <f aca="false">Algae_yield_cost_factor/W66</f>
        <v>0.0455284891666023</v>
      </c>
      <c r="BP66" s="18" t="n">
        <f aca="false">Algae_yield_cost_factor/X66</f>
        <v>0.0445028783742347</v>
      </c>
      <c r="BQ66" s="18" t="n">
        <f aca="false">Algae_yield_cost_factor/Y66</f>
        <v>0.0438548520197003</v>
      </c>
      <c r="BR66" s="18" t="n">
        <f aca="false">Algae_yield_cost_factor/Z66</f>
        <v>0.0434517586831835</v>
      </c>
      <c r="BS66" s="18" t="n">
        <f aca="false">Algae_yield_cost_factor/AA66</f>
        <v>0.0432034579273313</v>
      </c>
      <c r="BT66" s="18" t="n">
        <f aca="false">Algae_yield_cost_factor/AB66</f>
        <v>0.0430514264710479</v>
      </c>
      <c r="BU66" s="18" t="n">
        <f aca="false">Algae_yield_cost_factor/AC66</f>
        <v>0.0429586827243354</v>
      </c>
    </row>
    <row r="67" customFormat="false" ht="15" hidden="false" customHeight="false" outlineLevel="0" collapsed="false">
      <c r="A67" s="18" t="s">
        <v>700</v>
      </c>
      <c r="B67" s="18" t="s">
        <v>22</v>
      </c>
      <c r="C67" s="18" t="s">
        <v>693</v>
      </c>
      <c r="D67" s="18" t="s">
        <v>693</v>
      </c>
      <c r="E67" s="185" t="n">
        <v>8.04375</v>
      </c>
      <c r="F67" s="18" t="n">
        <f aca="false">E67/$B$2*$F$3/1000</f>
        <v>0.0197071875</v>
      </c>
      <c r="G67" s="18" t="n">
        <f aca="false">LOOKUP(RIGHT(D67,5),Ref!$C$4:$C$21,Ref!$E$4:$E$21)*$G$3</f>
        <v>3</v>
      </c>
      <c r="H67" s="222" t="n">
        <f aca="false">$E67</f>
        <v>8.04375</v>
      </c>
      <c r="I67" s="185" t="n">
        <f aca="false">$E67</f>
        <v>8.04375</v>
      </c>
      <c r="J67" s="185" t="n">
        <f aca="false">$E67</f>
        <v>8.04375</v>
      </c>
      <c r="K67" s="185" t="n">
        <f aca="false">$E67</f>
        <v>8.04375</v>
      </c>
      <c r="L67" s="185" t="n">
        <f aca="false">$E67</f>
        <v>8.04375</v>
      </c>
      <c r="M67" s="185" t="n">
        <f aca="false">M$3*$E67</f>
        <v>8.42523186737205</v>
      </c>
      <c r="N67" s="185" t="n">
        <f aca="false">N$3*$E67</f>
        <v>8.65393423554588</v>
      </c>
      <c r="O67" s="185" t="n">
        <f aca="false">O$3*$E67</f>
        <v>9.00258850401541</v>
      </c>
      <c r="P67" s="185" t="n">
        <f aca="false">P$3*$E67</f>
        <v>9.51113530711738</v>
      </c>
      <c r="Q67" s="185" t="n">
        <f aca="false">Q$3*$E67</f>
        <v>10.2070475581449</v>
      </c>
      <c r="R67" s="185" t="n">
        <f aca="false">R$3*$E67</f>
        <v>11.0805927546451</v>
      </c>
      <c r="S67" s="185" t="n">
        <f aca="false">S$3*$E67</f>
        <v>12.065625</v>
      </c>
      <c r="T67" s="185" t="n">
        <f aca="false">T$3*$E67</f>
        <v>13.0506572453549</v>
      </c>
      <c r="U67" s="185" t="n">
        <f aca="false">U$3*$E67</f>
        <v>13.9242024418551</v>
      </c>
      <c r="V67" s="185" t="n">
        <f aca="false">V$3*$E67</f>
        <v>14.6201146928826</v>
      </c>
      <c r="W67" s="185" t="n">
        <f aca="false">W$3*$E67</f>
        <v>15.1286614959846</v>
      </c>
      <c r="X67" s="185" t="n">
        <f aca="false">X$3*$E67</f>
        <v>15.4773157644541</v>
      </c>
      <c r="Y67" s="185" t="n">
        <f aca="false">Y$3*$E67</f>
        <v>15.7060181326279</v>
      </c>
      <c r="Z67" s="185" t="n">
        <f aca="false">Z$3*$E67</f>
        <v>15.8517197438938</v>
      </c>
      <c r="AA67" s="185" t="n">
        <f aca="false">AA$3*$E67</f>
        <v>15.9428234236174</v>
      </c>
      <c r="AB67" s="185" t="n">
        <f aca="false">AB$3*$E67</f>
        <v>15.9991237802152</v>
      </c>
      <c r="AC67" s="185" t="n">
        <f aca="false">AC$3*$E67</f>
        <v>16.0336643803778</v>
      </c>
      <c r="AD67" s="219" t="n">
        <f aca="false">Algae_electricity_factor/H67</f>
        <v>0.00170860570051646</v>
      </c>
      <c r="AE67" s="220" t="n">
        <f aca="false">Algae_electricity_factor/I67</f>
        <v>0.00170860570051646</v>
      </c>
      <c r="AF67" s="220" t="n">
        <f aca="false">Algae_electricity_factor/J67</f>
        <v>0.00170860570051646</v>
      </c>
      <c r="AG67" s="220" t="n">
        <f aca="false">Algae_electricity_factor/K67</f>
        <v>0.00170860570051646</v>
      </c>
      <c r="AH67" s="220" t="n">
        <f aca="false">Algae_electricity_factor/L67</f>
        <v>0.00170860570051646</v>
      </c>
      <c r="AI67" s="220" t="n">
        <f aca="false">Algae_electricity_factor/M67</f>
        <v>0.00163124259603506</v>
      </c>
      <c r="AJ67" s="220" t="n">
        <f aca="false">Algae_electricity_factor/N67</f>
        <v>0.00158813283409038</v>
      </c>
      <c r="AK67" s="220" t="n">
        <f aca="false">Algae_electricity_factor/O67</f>
        <v>0.00152662726919033</v>
      </c>
      <c r="AL67" s="220" t="n">
        <f aca="false">Algae_electricity_factor/P67</f>
        <v>0.00144500069231952</v>
      </c>
      <c r="AM67" s="220" t="n">
        <f aca="false">Algae_electricity_factor/Q67</f>
        <v>0.00134648114699557</v>
      </c>
      <c r="AN67" s="220" t="n">
        <f aca="false">Algae_electricity_factor/R67</f>
        <v>0.00124033049565582</v>
      </c>
      <c r="AO67" s="220" t="n">
        <f aca="false">Algae_electricity_factor/S67</f>
        <v>0.00113907046701097</v>
      </c>
      <c r="AP67" s="220" t="n">
        <f aca="false">Algae_electricity_factor/T67</f>
        <v>0.00105309616559128</v>
      </c>
      <c r="AQ67" s="220" t="n">
        <f aca="false">Algae_electricity_factor/U67</f>
        <v>0.000987029394388654</v>
      </c>
      <c r="AR67" s="220" t="n">
        <f aca="false">Algae_electricity_factor/V67</f>
        <v>0.000940047146840779</v>
      </c>
      <c r="AS67" s="220" t="n">
        <f aca="false">Algae_electricity_factor/W67</f>
        <v>0.000908447657922484</v>
      </c>
      <c r="AT67" s="220" t="n">
        <f aca="false">Algae_electricity_factor/X67</f>
        <v>0.000887983246752218</v>
      </c>
      <c r="AU67" s="220" t="n">
        <f aca="false">Algae_electricity_factor/Y67</f>
        <v>0.000875052924775254</v>
      </c>
      <c r="AV67" s="220" t="n">
        <f aca="false">Algae_electricity_factor/Z67</f>
        <v>0.000867009846601875</v>
      </c>
      <c r="AW67" s="220" t="n">
        <f aca="false">Algae_electricity_factor/AA67</f>
        <v>0.000862055405015007</v>
      </c>
      <c r="AX67" s="220" t="n">
        <f aca="false">Algae_electricity_factor/AB67</f>
        <v>0.000859021862217534</v>
      </c>
      <c r="AY67" s="220" t="n">
        <f aca="false">Algae_electricity_factor/AC67</f>
        <v>0.000857171310155953</v>
      </c>
      <c r="AZ67" s="211" t="n">
        <f aca="false">Algae_yield_cost_factor/H67</f>
        <v>0.0945880490177116</v>
      </c>
      <c r="BA67" s="18" t="n">
        <f aca="false">Algae_yield_cost_factor/I67</f>
        <v>0.0945880490177116</v>
      </c>
      <c r="BB67" s="18" t="n">
        <f aca="false">Algae_yield_cost_factor/J67</f>
        <v>0.0945880490177116</v>
      </c>
      <c r="BC67" s="18" t="n">
        <f aca="false">Algae_yield_cost_factor/K67</f>
        <v>0.0945880490177116</v>
      </c>
      <c r="BD67" s="18" t="n">
        <f aca="false">Algae_yield_cost_factor/L67</f>
        <v>0.0945880490177116</v>
      </c>
      <c r="BE67" s="18" t="n">
        <f aca="false">Algae_yield_cost_factor/M67</f>
        <v>0.0903052439699247</v>
      </c>
      <c r="BF67" s="18" t="n">
        <f aca="false">Algae_yield_cost_factor/N67</f>
        <v>0.0879186966964772</v>
      </c>
      <c r="BG67" s="18" t="n">
        <f aca="false">Algae_yield_cost_factor/O67</f>
        <v>0.0845137616749739</v>
      </c>
      <c r="BH67" s="18" t="n">
        <f aca="false">Algae_yield_cost_factor/P67</f>
        <v>0.0799949317004105</v>
      </c>
      <c r="BI67" s="18" t="n">
        <f aca="false">Algae_yield_cost_factor/Q67</f>
        <v>0.0745409105769366</v>
      </c>
      <c r="BJ67" s="18" t="n">
        <f aca="false">Algae_yield_cost_factor/R67</f>
        <v>0.0686644330437346</v>
      </c>
      <c r="BK67" s="18" t="n">
        <f aca="false">Algae_yield_cost_factor/S67</f>
        <v>0.0630586993451411</v>
      </c>
      <c r="BL67" s="18" t="n">
        <f aca="false">Algae_yield_cost_factor/T67</f>
        <v>0.0582991802621299</v>
      </c>
      <c r="BM67" s="18" t="n">
        <f aca="false">Algae_yield_cost_factor/U67</f>
        <v>0.054641737827596</v>
      </c>
      <c r="BN67" s="18" t="n">
        <f aca="false">Algae_yield_cost_factor/V67</f>
        <v>0.0520408105728891</v>
      </c>
      <c r="BO67" s="18" t="n">
        <f aca="false">Algae_yield_cost_factor/W67</f>
        <v>0.0502914695717238</v>
      </c>
      <c r="BP67" s="18" t="n">
        <f aca="false">Algae_yield_cost_factor/X67</f>
        <v>0.049158564111847</v>
      </c>
      <c r="BQ67" s="18" t="n">
        <f aca="false">Algae_yield_cost_factor/Y67</f>
        <v>0.048442744230992</v>
      </c>
      <c r="BR67" s="18" t="n">
        <f aca="false">Algae_yield_cost_factor/Z67</f>
        <v>0.0479974811300396</v>
      </c>
      <c r="BS67" s="18" t="n">
        <f aca="false">Algae_yield_cost_factor/AA67</f>
        <v>0.0477232042951137</v>
      </c>
      <c r="BT67" s="18" t="n">
        <f aca="false">Algae_yield_cost_factor/AB67</f>
        <v>0.0475552680095576</v>
      </c>
      <c r="BU67" s="18" t="n">
        <f aca="false">Algae_yield_cost_factor/AC67</f>
        <v>0.0474528218401121</v>
      </c>
    </row>
    <row r="68" customFormat="false" ht="15" hidden="false" customHeight="false" outlineLevel="0" collapsed="false">
      <c r="A68" s="18" t="s">
        <v>700</v>
      </c>
      <c r="B68" s="18" t="s">
        <v>22</v>
      </c>
      <c r="C68" s="18" t="s">
        <v>694</v>
      </c>
      <c r="D68" s="18" t="s">
        <v>694</v>
      </c>
      <c r="E68" s="185" t="n">
        <v>7.7385</v>
      </c>
      <c r="F68" s="18" t="n">
        <f aca="false">E68/$B$2*$F$3/1000</f>
        <v>0.018959325</v>
      </c>
      <c r="G68" s="18" t="n">
        <f aca="false">LOOKUP(RIGHT(D68,5),Ref!$C$4:$C$21,Ref!$E$4:$E$21)*$G$3</f>
        <v>3</v>
      </c>
      <c r="H68" s="222" t="n">
        <f aca="false">$E68</f>
        <v>7.7385</v>
      </c>
      <c r="I68" s="185" t="n">
        <f aca="false">$E68</f>
        <v>7.7385</v>
      </c>
      <c r="J68" s="185" t="n">
        <f aca="false">$E68</f>
        <v>7.7385</v>
      </c>
      <c r="K68" s="185" t="n">
        <f aca="false">$E68</f>
        <v>7.7385</v>
      </c>
      <c r="L68" s="185" t="n">
        <f aca="false">$E68</f>
        <v>7.7385</v>
      </c>
      <c r="M68" s="185" t="n">
        <f aca="false">M$3*$E68</f>
        <v>8.1055051195846</v>
      </c>
      <c r="N68" s="185" t="n">
        <f aca="false">N$3*$E68</f>
        <v>8.32552852609439</v>
      </c>
      <c r="O68" s="185" t="n">
        <f aca="false">O$3*$E68</f>
        <v>8.66095181206816</v>
      </c>
      <c r="P68" s="185" t="n">
        <f aca="false">P$3*$E68</f>
        <v>9.15019991597549</v>
      </c>
      <c r="Q68" s="185" t="n">
        <f aca="false">Q$3*$E68</f>
        <v>9.81970318927171</v>
      </c>
      <c r="R68" s="185" t="n">
        <f aca="false">R$3*$E68</f>
        <v>10.6600984654944</v>
      </c>
      <c r="S68" s="185" t="n">
        <f aca="false">S$3*$E68</f>
        <v>11.60775</v>
      </c>
      <c r="T68" s="185" t="n">
        <f aca="false">T$3*$E68</f>
        <v>12.5554015345055</v>
      </c>
      <c r="U68" s="185" t="n">
        <f aca="false">U$3*$E68</f>
        <v>13.3957968107283</v>
      </c>
      <c r="V68" s="185" t="n">
        <f aca="false">V$3*$E68</f>
        <v>14.0653000840245</v>
      </c>
      <c r="W68" s="185" t="n">
        <f aca="false">W$3*$E68</f>
        <v>14.5545481879318</v>
      </c>
      <c r="X68" s="185" t="n">
        <f aca="false">X$3*$E68</f>
        <v>14.8899714739056</v>
      </c>
      <c r="Y68" s="185" t="n">
        <f aca="false">Y$3*$E68</f>
        <v>15.1099948804154</v>
      </c>
      <c r="Z68" s="185" t="n">
        <f aca="false">Z$3*$E68</f>
        <v>15.2501673023306</v>
      </c>
      <c r="AA68" s="185" t="n">
        <f aca="false">AA$3*$E68</f>
        <v>15.3378137142084</v>
      </c>
      <c r="AB68" s="185" t="n">
        <f aca="false">AB$3*$E68</f>
        <v>15.3919775444532</v>
      </c>
      <c r="AC68" s="185" t="n">
        <f aca="false">AC$3*$E68</f>
        <v>15.4252073731224</v>
      </c>
      <c r="AD68" s="219" t="n">
        <f aca="false">Algae_electricity_factor/H68</f>
        <v>0.00177600272708267</v>
      </c>
      <c r="AE68" s="220" t="n">
        <f aca="false">Algae_electricity_factor/I68</f>
        <v>0.00177600272708267</v>
      </c>
      <c r="AF68" s="220" t="n">
        <f aca="false">Algae_electricity_factor/J68</f>
        <v>0.00177600272708267</v>
      </c>
      <c r="AG68" s="220" t="n">
        <f aca="false">Algae_electricity_factor/K68</f>
        <v>0.00177600272708267</v>
      </c>
      <c r="AH68" s="220" t="n">
        <f aca="false">Algae_electricity_factor/L68</f>
        <v>0.00177600272708267</v>
      </c>
      <c r="AI68" s="220" t="n">
        <f aca="false">Algae_electricity_factor/M68</f>
        <v>0.00169558798628377</v>
      </c>
      <c r="AJ68" s="220" t="n">
        <f aca="false">Algae_electricity_factor/N68</f>
        <v>0.00165077773266324</v>
      </c>
      <c r="AK68" s="220" t="n">
        <f aca="false">Algae_electricity_factor/O68</f>
        <v>0.00158684604206884</v>
      </c>
      <c r="AL68" s="220" t="n">
        <f aca="false">Algae_electricity_factor/P68</f>
        <v>0.00150199965353042</v>
      </c>
      <c r="AM68" s="220" t="n">
        <f aca="false">Algae_electricity_factor/Q68</f>
        <v>0.00139959394277258</v>
      </c>
      <c r="AN68" s="220" t="n">
        <f aca="false">Algae_electricity_factor/R68</f>
        <v>0.0012892561122222</v>
      </c>
      <c r="AO68" s="220" t="n">
        <f aca="false">Algae_electricity_factor/S68</f>
        <v>0.00118400181805512</v>
      </c>
      <c r="AP68" s="220" t="n">
        <f aca="false">Algae_electricity_factor/T68</f>
        <v>0.00109463620623827</v>
      </c>
      <c r="AQ68" s="220" t="n">
        <f aca="false">Algae_electricity_factor/U68</f>
        <v>0.0010259633896897</v>
      </c>
      <c r="AR68" s="220" t="n">
        <f aca="false">Algae_electricity_factor/V68</f>
        <v>0.000977127897835564</v>
      </c>
      <c r="AS68" s="220" t="n">
        <f aca="false">Algae_electricity_factor/W68</f>
        <v>0.000944281947200876</v>
      </c>
      <c r="AT68" s="220" t="n">
        <f aca="false">Algae_electricity_factor/X68</f>
        <v>0.000923010304459928</v>
      </c>
      <c r="AU68" s="220" t="n">
        <f aca="false">Algae_electricity_factor/Y68</f>
        <v>0.000909569937799438</v>
      </c>
      <c r="AV68" s="220" t="n">
        <f aca="false">Algae_electricity_factor/Z68</f>
        <v>0.000901209595348431</v>
      </c>
      <c r="AW68" s="220" t="n">
        <f aca="false">Algae_electricity_factor/AA68</f>
        <v>0.000896059722696836</v>
      </c>
      <c r="AX68" s="220" t="n">
        <f aca="false">Algae_electricity_factor/AB68</f>
        <v>0.000892906519895624</v>
      </c>
      <c r="AY68" s="220" t="n">
        <f aca="false">Algae_electricity_factor/AC68</f>
        <v>0.000890982971643981</v>
      </c>
      <c r="AZ68" s="211" t="n">
        <f aca="false">Algae_yield_cost_factor/H68</f>
        <v>0.0983191341068964</v>
      </c>
      <c r="BA68" s="18" t="n">
        <f aca="false">Algae_yield_cost_factor/I68</f>
        <v>0.0983191341068964</v>
      </c>
      <c r="BB68" s="18" t="n">
        <f aca="false">Algae_yield_cost_factor/J68</f>
        <v>0.0983191341068964</v>
      </c>
      <c r="BC68" s="18" t="n">
        <f aca="false">Algae_yield_cost_factor/K68</f>
        <v>0.0983191341068964</v>
      </c>
      <c r="BD68" s="18" t="n">
        <f aca="false">Algae_yield_cost_factor/L68</f>
        <v>0.0983191341068964</v>
      </c>
      <c r="BE68" s="18" t="n">
        <f aca="false">Algae_yield_cost_factor/M68</f>
        <v>0.0938673911201243</v>
      </c>
      <c r="BF68" s="18" t="n">
        <f aca="false">Algae_yield_cost_factor/N68</f>
        <v>0.0913867049883425</v>
      </c>
      <c r="BG68" s="18" t="n">
        <f aca="false">Algae_yield_cost_factor/O68</f>
        <v>0.0878474601632191</v>
      </c>
      <c r="BH68" s="18" t="n">
        <f aca="false">Algae_yield_cost_factor/P68</f>
        <v>0.0831503820979747</v>
      </c>
      <c r="BI68" s="18" t="n">
        <f aca="false">Algae_yield_cost_factor/Q68</f>
        <v>0.0774812236807177</v>
      </c>
      <c r="BJ68" s="18" t="n">
        <f aca="false">Algae_yield_cost_factor/R68</f>
        <v>0.0713729447949267</v>
      </c>
      <c r="BK68" s="18" t="n">
        <f aca="false">Algae_yield_cost_factor/S68</f>
        <v>0.0655460894045976</v>
      </c>
      <c r="BL68" s="18" t="n">
        <f aca="false">Algae_yield_cost_factor/T68</f>
        <v>0.0605988280976297</v>
      </c>
      <c r="BM68" s="18" t="n">
        <f aca="false">Algae_yield_cost_factor/U68</f>
        <v>0.0567971155457421</v>
      </c>
      <c r="BN68" s="18" t="n">
        <f aca="false">Algae_yield_cost_factor/V68</f>
        <v>0.0540935930794956</v>
      </c>
      <c r="BO68" s="18" t="n">
        <f aca="false">Algae_yield_cost_factor/W68</f>
        <v>0.0522752482222075</v>
      </c>
      <c r="BP68" s="18" t="n">
        <f aca="false">Algae_yield_cost_factor/X68</f>
        <v>0.0510976545938708</v>
      </c>
      <c r="BQ68" s="18" t="n">
        <f aca="false">Algae_yield_cost_factor/Y68</f>
        <v>0.0503535987475663</v>
      </c>
      <c r="BR68" s="18" t="n">
        <f aca="false">Algae_yield_cost_factor/Z68</f>
        <v>0.0498907719635273</v>
      </c>
      <c r="BS68" s="18" t="n">
        <f aca="false">Algae_yield_cost_factor/AA68</f>
        <v>0.0496056761063282</v>
      </c>
      <c r="BT68" s="18" t="n">
        <f aca="false">Algae_yield_cost_factor/AB68</f>
        <v>0.0494311154683567</v>
      </c>
      <c r="BU68" s="18" t="n">
        <f aca="false">Algae_yield_cost_factor/AC68</f>
        <v>0.049324628245319</v>
      </c>
    </row>
    <row r="69" customFormat="false" ht="15" hidden="false" customHeight="false" outlineLevel="0" collapsed="false">
      <c r="A69" s="18" t="s">
        <v>700</v>
      </c>
      <c r="B69" s="18" t="s">
        <v>22</v>
      </c>
      <c r="C69" s="18" t="s">
        <v>682</v>
      </c>
      <c r="D69" s="18" t="s">
        <v>682</v>
      </c>
      <c r="E69" s="185" t="n">
        <v>8.0025</v>
      </c>
      <c r="F69" s="18" t="n">
        <f aca="false">E69/$B$2*$F$3/1000</f>
        <v>0.019606125</v>
      </c>
      <c r="G69" s="18" t="n">
        <f aca="false">LOOKUP(RIGHT(D69,5),Ref!$C$4:$C$21,Ref!$E$4:$E$21)*$G$3</f>
        <v>3</v>
      </c>
      <c r="H69" s="222" t="n">
        <f aca="false">$E69</f>
        <v>8.0025</v>
      </c>
      <c r="I69" s="185" t="n">
        <f aca="false">$E69</f>
        <v>8.0025</v>
      </c>
      <c r="J69" s="185" t="n">
        <f aca="false">$E69</f>
        <v>8.0025</v>
      </c>
      <c r="K69" s="185" t="n">
        <f aca="false">$E69</f>
        <v>8.0025</v>
      </c>
      <c r="L69" s="185" t="n">
        <f aca="false">$E69</f>
        <v>8.0025</v>
      </c>
      <c r="M69" s="185" t="n">
        <f aca="false">M$3*$E69</f>
        <v>8.38202555010348</v>
      </c>
      <c r="N69" s="185" t="n">
        <f aca="false">N$3*$E69</f>
        <v>8.60955508562</v>
      </c>
      <c r="O69" s="185" t="n">
        <f aca="false">O$3*$E69</f>
        <v>8.956421383482</v>
      </c>
      <c r="P69" s="185" t="n">
        <f aca="false">P$3*$E69</f>
        <v>9.46236025426037</v>
      </c>
      <c r="Q69" s="185" t="n">
        <f aca="false">Q$3*$E69</f>
        <v>10.1547037245134</v>
      </c>
      <c r="R69" s="185" t="n">
        <f aca="false">R$3*$E69</f>
        <v>11.0237692020572</v>
      </c>
      <c r="S69" s="185" t="n">
        <f aca="false">S$3*$E69</f>
        <v>12.00375</v>
      </c>
      <c r="T69" s="185" t="n">
        <f aca="false">T$3*$E69</f>
        <v>12.9837307979428</v>
      </c>
      <c r="U69" s="185" t="n">
        <f aca="false">U$3*$E69</f>
        <v>13.8527962754866</v>
      </c>
      <c r="V69" s="185" t="n">
        <f aca="false">V$3*$E69</f>
        <v>14.5451397457396</v>
      </c>
      <c r="W69" s="185" t="n">
        <f aca="false">W$3*$E69</f>
        <v>15.051078616518</v>
      </c>
      <c r="X69" s="185" t="n">
        <f aca="false">X$3*$E69</f>
        <v>15.39794491438</v>
      </c>
      <c r="Y69" s="185" t="n">
        <f aca="false">Y$3*$E69</f>
        <v>15.6254744498965</v>
      </c>
      <c r="Z69" s="185" t="n">
        <f aca="false">Z$3*$E69</f>
        <v>15.7704288734123</v>
      </c>
      <c r="AA69" s="185" t="n">
        <f aca="false">AA$3*$E69</f>
        <v>15.8610653547784</v>
      </c>
      <c r="AB69" s="185" t="n">
        <f aca="false">AB$3*$E69</f>
        <v>15.9170769915987</v>
      </c>
      <c r="AC69" s="185" t="n">
        <f aca="false">AC$3*$E69</f>
        <v>15.9514404604784</v>
      </c>
      <c r="AD69" s="219" t="n">
        <f aca="false">Algae_electricity_factor/H69</f>
        <v>0.00171741294639541</v>
      </c>
      <c r="AE69" s="220" t="n">
        <f aca="false">Algae_electricity_factor/I69</f>
        <v>0.00171741294639541</v>
      </c>
      <c r="AF69" s="220" t="n">
        <f aca="false">Algae_electricity_factor/J69</f>
        <v>0.00171741294639541</v>
      </c>
      <c r="AG69" s="220" t="n">
        <f aca="false">Algae_electricity_factor/K69</f>
        <v>0.00171741294639541</v>
      </c>
      <c r="AH69" s="220" t="n">
        <f aca="false">Algae_electricity_factor/L69</f>
        <v>0.00171741294639541</v>
      </c>
      <c r="AI69" s="220" t="n">
        <f aca="false">Algae_electricity_factor/M69</f>
        <v>0.00163965106302493</v>
      </c>
      <c r="AJ69" s="220" t="n">
        <f aca="false">Algae_electricity_factor/N69</f>
        <v>0.0015963190858125</v>
      </c>
      <c r="AK69" s="220" t="n">
        <f aca="false">Algae_electricity_factor/O69</f>
        <v>0.00153449648191811</v>
      </c>
      <c r="AL69" s="220" t="n">
        <f aca="false">Algae_electricity_factor/P69</f>
        <v>0.00145244914949643</v>
      </c>
      <c r="AM69" s="220" t="n">
        <f aca="false">Algae_electricity_factor/Q69</f>
        <v>0.00135342177146462</v>
      </c>
      <c r="AN69" s="220" t="n">
        <f aca="false">Algae_electricity_factor/R69</f>
        <v>0.001246723951819</v>
      </c>
      <c r="AO69" s="220" t="n">
        <f aca="false">Algae_electricity_factor/S69</f>
        <v>0.00114494196426361</v>
      </c>
      <c r="AP69" s="220" t="n">
        <f aca="false">Algae_electricity_factor/T69</f>
        <v>0.00105852449634175</v>
      </c>
      <c r="AQ69" s="220" t="n">
        <f aca="false">Algae_electricity_factor/U69</f>
        <v>0.000992117174772101</v>
      </c>
      <c r="AR69" s="220" t="n">
        <f aca="false">Algae_electricity_factor/V69</f>
        <v>0.000944892750690474</v>
      </c>
      <c r="AS69" s="220" t="n">
        <f aca="false">Algae_electricity_factor/W69</f>
        <v>0.000913130377808682</v>
      </c>
      <c r="AT69" s="220" t="n">
        <f aca="false">Algae_electricity_factor/X69</f>
        <v>0.0008925604799829</v>
      </c>
      <c r="AU69" s="220" t="n">
        <f aca="false">Algae_electricity_factor/Y69</f>
        <v>0.000879563506861725</v>
      </c>
      <c r="AV69" s="220" t="n">
        <f aca="false">Algae_electricity_factor/Z69</f>
        <v>0.000871478969522503</v>
      </c>
      <c r="AW69" s="220" t="n">
        <f aca="false">Algae_electricity_factor/AA69</f>
        <v>0.00086649898957694</v>
      </c>
      <c r="AX69" s="220" t="n">
        <f aca="false">Algae_electricity_factor/AB69</f>
        <v>0.000863449809960923</v>
      </c>
      <c r="AY69" s="220" t="n">
        <f aca="false">Algae_electricity_factor/AC69</f>
        <v>0.00086158971897119</v>
      </c>
      <c r="AZ69" s="211" t="n">
        <f aca="false">Algae_yield_cost_factor/H69</f>
        <v>0.0950756162806895</v>
      </c>
      <c r="BA69" s="18" t="n">
        <f aca="false">Algae_yield_cost_factor/I69</f>
        <v>0.0950756162806895</v>
      </c>
      <c r="BB69" s="18" t="n">
        <f aca="false">Algae_yield_cost_factor/J69</f>
        <v>0.0950756162806895</v>
      </c>
      <c r="BC69" s="18" t="n">
        <f aca="false">Algae_yield_cost_factor/K69</f>
        <v>0.0950756162806895</v>
      </c>
      <c r="BD69" s="18" t="n">
        <f aca="false">Algae_yield_cost_factor/L69</f>
        <v>0.0950756162806895</v>
      </c>
      <c r="BE69" s="18" t="n">
        <f aca="false">Algae_yield_cost_factor/M69</f>
        <v>0.0907707349182233</v>
      </c>
      <c r="BF69" s="18" t="n">
        <f aca="false">Algae_yield_cost_factor/N69</f>
        <v>0.0883718858547064</v>
      </c>
      <c r="BG69" s="18" t="n">
        <f aca="false">Algae_yield_cost_factor/O69</f>
        <v>0.0849493996217521</v>
      </c>
      <c r="BH69" s="18" t="n">
        <f aca="false">Algae_yield_cost_factor/P69</f>
        <v>0.0804072767091755</v>
      </c>
      <c r="BI69" s="18" t="n">
        <f aca="false">Algae_yield_cost_factor/Q69</f>
        <v>0.0749251420747558</v>
      </c>
      <c r="BJ69" s="18" t="n">
        <f aca="false">Algae_yield_cost_factor/R69</f>
        <v>0.0690183734202487</v>
      </c>
      <c r="BK69" s="18" t="n">
        <f aca="false">Algae_yield_cost_factor/S69</f>
        <v>0.0633837441871263</v>
      </c>
      <c r="BL69" s="18" t="n">
        <f aca="false">Algae_yield_cost_factor/T69</f>
        <v>0.0585996915005945</v>
      </c>
      <c r="BM69" s="18" t="n">
        <f aca="false">Algae_yield_cost_factor/U69</f>
        <v>0.0549233962700062</v>
      </c>
      <c r="BN69" s="18" t="n">
        <f aca="false">Algae_yield_cost_factor/V69</f>
        <v>0.0523090621737803</v>
      </c>
      <c r="BO69" s="18" t="n">
        <f aca="false">Algae_yield_cost_factor/W69</f>
        <v>0.0505507039509594</v>
      </c>
      <c r="BP69" s="18" t="n">
        <f aca="false">Algae_yield_cost_factor/X69</f>
        <v>0.0494119587722173</v>
      </c>
      <c r="BQ69" s="18" t="n">
        <f aca="false">Algae_yield_cost_factor/Y69</f>
        <v>0.048692449098162</v>
      </c>
      <c r="BR69" s="18" t="n">
        <f aca="false">Algae_yield_cost_factor/Z69</f>
        <v>0.0482448908265862</v>
      </c>
      <c r="BS69" s="18" t="n">
        <f aca="false">Algae_yield_cost_factor/AA69</f>
        <v>0.0479692001935421</v>
      </c>
      <c r="BT69" s="18" t="n">
        <f aca="false">Algae_yield_cost_factor/AB69</f>
        <v>0.0478003982570295</v>
      </c>
      <c r="BU69" s="18" t="n">
        <f aca="false">Algae_yield_cost_factor/AC69</f>
        <v>0.0476974240145456</v>
      </c>
    </row>
    <row r="70" customFormat="false" ht="15" hidden="false" customHeight="false" outlineLevel="0" collapsed="false">
      <c r="A70" s="18" t="s">
        <v>700</v>
      </c>
      <c r="B70" s="18" t="s">
        <v>22</v>
      </c>
      <c r="C70" s="18" t="s">
        <v>686</v>
      </c>
      <c r="D70" s="18" t="s">
        <v>686</v>
      </c>
      <c r="E70" s="185" t="n">
        <v>8.19225</v>
      </c>
      <c r="F70" s="18" t="n">
        <f aca="false">E70/$B$2*$F$3/1000</f>
        <v>0.0200710125</v>
      </c>
      <c r="G70" s="18" t="n">
        <f aca="false">LOOKUP(RIGHT(D70,5),Ref!$C$4:$C$21,Ref!$E$4:$E$21)*$G$3</f>
        <v>4.5</v>
      </c>
      <c r="H70" s="222" t="n">
        <f aca="false">$E70</f>
        <v>8.19225</v>
      </c>
      <c r="I70" s="185" t="n">
        <f aca="false">$E70</f>
        <v>8.19225</v>
      </c>
      <c r="J70" s="185" t="n">
        <f aca="false">$E70</f>
        <v>8.19225</v>
      </c>
      <c r="K70" s="185" t="n">
        <f aca="false">$E70</f>
        <v>8.19225</v>
      </c>
      <c r="L70" s="185" t="n">
        <f aca="false">$E70</f>
        <v>8.19225</v>
      </c>
      <c r="M70" s="185" t="n">
        <f aca="false">M$3*$E70</f>
        <v>8.58077460953892</v>
      </c>
      <c r="N70" s="185" t="n">
        <f aca="false">N$3*$E70</f>
        <v>8.81369917527903</v>
      </c>
      <c r="O70" s="185" t="n">
        <f aca="false">O$3*$E70</f>
        <v>9.16879013793569</v>
      </c>
      <c r="P70" s="185" t="n">
        <f aca="false">P$3*$E70</f>
        <v>9.68672549740262</v>
      </c>
      <c r="Q70" s="185" t="n">
        <f aca="false">Q$3*$E70</f>
        <v>10.3954853592183</v>
      </c>
      <c r="R70" s="185" t="n">
        <f aca="false">R$3*$E70</f>
        <v>11.2851575439616</v>
      </c>
      <c r="S70" s="185" t="n">
        <f aca="false">S$3*$E70</f>
        <v>12.288375</v>
      </c>
      <c r="T70" s="185" t="n">
        <f aca="false">T$3*$E70</f>
        <v>13.2915924560384</v>
      </c>
      <c r="U70" s="185" t="n">
        <f aca="false">U$3*$E70</f>
        <v>14.1812646407817</v>
      </c>
      <c r="V70" s="185" t="n">
        <f aca="false">V$3*$E70</f>
        <v>14.8900245025974</v>
      </c>
      <c r="W70" s="185" t="n">
        <f aca="false">W$3*$E70</f>
        <v>15.4079598620643</v>
      </c>
      <c r="X70" s="185" t="n">
        <f aca="false">X$3*$E70</f>
        <v>15.763050824721</v>
      </c>
      <c r="Y70" s="185" t="n">
        <f aca="false">Y$3*$E70</f>
        <v>15.9959753904611</v>
      </c>
      <c r="Z70" s="185" t="n">
        <f aca="false">Z$3*$E70</f>
        <v>16.1443668776272</v>
      </c>
      <c r="AA70" s="185" t="n">
        <f aca="false">AA$3*$E70</f>
        <v>16.2371524714381</v>
      </c>
      <c r="AB70" s="185" t="n">
        <f aca="false">AB$3*$E70</f>
        <v>16.2944922192345</v>
      </c>
      <c r="AC70" s="185" t="n">
        <f aca="false">AC$3*$E70</f>
        <v>16.3296704920155</v>
      </c>
      <c r="AD70" s="219" t="n">
        <f aca="false">Algae_electricity_factor/H70</f>
        <v>0.00167763399597537</v>
      </c>
      <c r="AE70" s="220" t="n">
        <f aca="false">Algae_electricity_factor/I70</f>
        <v>0.00167763399597537</v>
      </c>
      <c r="AF70" s="220" t="n">
        <f aca="false">Algae_electricity_factor/J70</f>
        <v>0.00167763399597537</v>
      </c>
      <c r="AG70" s="220" t="n">
        <f aca="false">Algae_electricity_factor/K70</f>
        <v>0.00167763399597537</v>
      </c>
      <c r="AH70" s="220" t="n">
        <f aca="false">Algae_electricity_factor/L70</f>
        <v>0.00167763399597537</v>
      </c>
      <c r="AI70" s="220" t="n">
        <f aca="false">Algae_electricity_factor/M70</f>
        <v>0.00160167324384107</v>
      </c>
      <c r="AJ70" s="220" t="n">
        <f aca="false">Algae_electricity_factor/N70</f>
        <v>0.00155934492773225</v>
      </c>
      <c r="AK70" s="220" t="n">
        <f aca="false">Algae_electricity_factor/O70</f>
        <v>0.00149895426733189</v>
      </c>
      <c r="AL70" s="220" t="n">
        <f aca="false">Algae_electricity_factor/P70</f>
        <v>0.0014188073262956</v>
      </c>
      <c r="AM70" s="220" t="n">
        <f aca="false">Algae_electricity_factor/Q70</f>
        <v>0.00132207363375698</v>
      </c>
      <c r="AN70" s="220" t="n">
        <f aca="false">Algae_electricity_factor/R70</f>
        <v>0.00121784716340829</v>
      </c>
      <c r="AO70" s="220" t="n">
        <f aca="false">Algae_electricity_factor/S70</f>
        <v>0.00111842266398358</v>
      </c>
      <c r="AP70" s="220" t="n">
        <f aca="false">Algae_electricity_factor/T70</f>
        <v>0.0010340068091153</v>
      </c>
      <c r="AQ70" s="220" t="n">
        <f aca="false">Algae_electricity_factor/U70</f>
        <v>0.000969137622889162</v>
      </c>
      <c r="AR70" s="220" t="n">
        <f aca="false">Algae_electricity_factor/V70</f>
        <v>0.000923007017290795</v>
      </c>
      <c r="AS70" s="220" t="n">
        <f aca="false">Algae_electricity_factor/W70</f>
        <v>0.000891980328775853</v>
      </c>
      <c r="AT70" s="220" t="n">
        <f aca="false">Algae_electricity_factor/X70</f>
        <v>0.000871886873699308</v>
      </c>
      <c r="AU70" s="220" t="n">
        <f aca="false">Algae_electricity_factor/Y70</f>
        <v>0.000859190938223437</v>
      </c>
      <c r="AV70" s="220" t="n">
        <f aca="false">Algae_electricity_factor/Z70</f>
        <v>0.000851293656029031</v>
      </c>
      <c r="AW70" s="220" t="n">
        <f aca="false">Algae_electricity_factor/AA70</f>
        <v>0.000846429023050989</v>
      </c>
      <c r="AX70" s="220" t="n">
        <f aca="false">Algae_electricity_factor/AB70</f>
        <v>0.000843450468944708</v>
      </c>
      <c r="AY70" s="220" t="n">
        <f aca="false">Algae_electricity_factor/AC70</f>
        <v>0.000841633461633488</v>
      </c>
      <c r="AZ70" s="211" t="n">
        <f aca="false">Algae_yield_cost_factor/H70</f>
        <v>0.092873462026454</v>
      </c>
      <c r="BA70" s="18" t="n">
        <f aca="false">Algae_yield_cost_factor/I70</f>
        <v>0.092873462026454</v>
      </c>
      <c r="BB70" s="18" t="n">
        <f aca="false">Algae_yield_cost_factor/J70</f>
        <v>0.092873462026454</v>
      </c>
      <c r="BC70" s="18" t="n">
        <f aca="false">Algae_yield_cost_factor/K70</f>
        <v>0.092873462026454</v>
      </c>
      <c r="BD70" s="18" t="n">
        <f aca="false">Algae_yield_cost_factor/L70</f>
        <v>0.092873462026454</v>
      </c>
      <c r="BE70" s="18" t="n">
        <f aca="false">Algae_yield_cost_factor/M70</f>
        <v>0.0886682909070258</v>
      </c>
      <c r="BF70" s="18" t="n">
        <f aca="false">Algae_yield_cost_factor/N70</f>
        <v>0.0863250043092298</v>
      </c>
      <c r="BG70" s="18" t="n">
        <f aca="false">Algae_yield_cost_factor/O70</f>
        <v>0.0829817901642493</v>
      </c>
      <c r="BH70" s="18" t="n">
        <f aca="false">Algae_yield_cost_factor/P70</f>
        <v>0.0785448725155088</v>
      </c>
      <c r="BI70" s="18" t="n">
        <f aca="false">Algae_yield_cost_factor/Q70</f>
        <v>0.0731897158232761</v>
      </c>
      <c r="BJ70" s="18" t="n">
        <f aca="false">Algae_yield_cost_factor/R70</f>
        <v>0.0674197605414312</v>
      </c>
      <c r="BK70" s="18" t="n">
        <f aca="false">Algae_yield_cost_factor/S70</f>
        <v>0.0619156413509693</v>
      </c>
      <c r="BL70" s="18" t="n">
        <f aca="false">Algae_yield_cost_factor/T70</f>
        <v>0.0572423975383451</v>
      </c>
      <c r="BM70" s="18" t="n">
        <f aca="false">Algae_yield_cost_factor/U70</f>
        <v>0.0536512531539839</v>
      </c>
      <c r="BN70" s="18" t="n">
        <f aca="false">Algae_yield_cost_factor/V70</f>
        <v>0.0510974726168851</v>
      </c>
      <c r="BO70" s="18" t="n">
        <f aca="false">Algae_yield_cost_factor/W70</f>
        <v>0.0493798417245022</v>
      </c>
      <c r="BP70" s="18" t="n">
        <f aca="false">Algae_yield_cost_factor/X70</f>
        <v>0.0482674723152576</v>
      </c>
      <c r="BQ70" s="18" t="n">
        <f aca="false">Algae_yield_cost_factor/Y70</f>
        <v>0.0475646280213667</v>
      </c>
      <c r="BR70" s="18" t="n">
        <f aca="false">Algae_yield_cost_factor/Z70</f>
        <v>0.0471274361548727</v>
      </c>
      <c r="BS70" s="18" t="n">
        <f aca="false">Algae_yield_cost_factor/AA70</f>
        <v>0.0468581311054741</v>
      </c>
      <c r="BT70" s="18" t="n">
        <f aca="false">Algae_yield_cost_factor/AB70</f>
        <v>0.046693238982194</v>
      </c>
      <c r="BU70" s="18" t="n">
        <f aca="false">Algae_yield_cost_factor/AC70</f>
        <v>0.0465926498430103</v>
      </c>
    </row>
    <row r="71" customFormat="false" ht="15" hidden="false" customHeight="false" outlineLevel="0" collapsed="false">
      <c r="A71" s="18" t="s">
        <v>700</v>
      </c>
      <c r="B71" s="18" t="s">
        <v>22</v>
      </c>
      <c r="C71" s="18" t="s">
        <v>687</v>
      </c>
      <c r="D71" s="18" t="s">
        <v>687</v>
      </c>
      <c r="E71" s="185" t="n">
        <v>7.84575</v>
      </c>
      <c r="F71" s="18" t="n">
        <f aca="false">E71/$B$2*$F$3/1000</f>
        <v>0.0192220875</v>
      </c>
      <c r="G71" s="18" t="n">
        <f aca="false">LOOKUP(RIGHT(D71,5),Ref!$C$4:$C$21,Ref!$E$4:$E$21)*$G$3</f>
        <v>4.5</v>
      </c>
      <c r="H71" s="222" t="n">
        <f aca="false">$E71</f>
        <v>7.84575</v>
      </c>
      <c r="I71" s="185" t="n">
        <f aca="false">$E71</f>
        <v>7.84575</v>
      </c>
      <c r="J71" s="185" t="n">
        <f aca="false">$E71</f>
        <v>7.84575</v>
      </c>
      <c r="K71" s="185" t="n">
        <f aca="false">$E71</f>
        <v>7.84575</v>
      </c>
      <c r="L71" s="185" t="n">
        <f aca="false">$E71</f>
        <v>7.84575</v>
      </c>
      <c r="M71" s="185" t="n">
        <f aca="false">M$3*$E71</f>
        <v>8.21784154448289</v>
      </c>
      <c r="N71" s="185" t="n">
        <f aca="false">N$3*$E71</f>
        <v>8.44091431590167</v>
      </c>
      <c r="O71" s="185" t="n">
        <f aca="false">O$3*$E71</f>
        <v>8.78098632545503</v>
      </c>
      <c r="P71" s="185" t="n">
        <f aca="false">P$3*$E71</f>
        <v>9.27701505340372</v>
      </c>
      <c r="Q71" s="185" t="n">
        <f aca="false">Q$3*$E71</f>
        <v>9.95579715671364</v>
      </c>
      <c r="R71" s="185" t="n">
        <f aca="false">R$3*$E71</f>
        <v>10.8078397022231</v>
      </c>
      <c r="S71" s="185" t="n">
        <f aca="false">S$3*$E71</f>
        <v>11.768625</v>
      </c>
      <c r="T71" s="185" t="n">
        <f aca="false">T$3*$E71</f>
        <v>12.7294102977769</v>
      </c>
      <c r="U71" s="185" t="n">
        <f aca="false">U$3*$E71</f>
        <v>13.5814528432864</v>
      </c>
      <c r="V71" s="185" t="n">
        <f aca="false">V$3*$E71</f>
        <v>14.2602349465963</v>
      </c>
      <c r="W71" s="185" t="n">
        <f aca="false">W$3*$E71</f>
        <v>14.756263674545</v>
      </c>
      <c r="X71" s="185" t="n">
        <f aca="false">X$3*$E71</f>
        <v>15.0963356840983</v>
      </c>
      <c r="Y71" s="185" t="n">
        <f aca="false">Y$3*$E71</f>
        <v>15.3194084555171</v>
      </c>
      <c r="Z71" s="185" t="n">
        <f aca="false">Z$3*$E71</f>
        <v>15.4615235655825</v>
      </c>
      <c r="AA71" s="185" t="n">
        <f aca="false">AA$3*$E71</f>
        <v>15.5503846931899</v>
      </c>
      <c r="AB71" s="185" t="n">
        <f aca="false">AB$3*$E71</f>
        <v>15.605299194856</v>
      </c>
      <c r="AC71" s="185" t="n">
        <f aca="false">AC$3*$E71</f>
        <v>15.6389895648608</v>
      </c>
      <c r="AD71" s="219" t="n">
        <f aca="false">Algae_electricity_factor/H71</f>
        <v>0.00175172508728028</v>
      </c>
      <c r="AE71" s="220" t="n">
        <f aca="false">Algae_electricity_factor/I71</f>
        <v>0.00175172508728028</v>
      </c>
      <c r="AF71" s="220" t="n">
        <f aca="false">Algae_electricity_factor/J71</f>
        <v>0.00175172508728028</v>
      </c>
      <c r="AG71" s="220" t="n">
        <f aca="false">Algae_electricity_factor/K71</f>
        <v>0.00175172508728028</v>
      </c>
      <c r="AH71" s="220" t="n">
        <f aca="false">Algae_electricity_factor/L71</f>
        <v>0.00175172508728028</v>
      </c>
      <c r="AI71" s="220" t="n">
        <f aca="false">Algae_electricity_factor/M71</f>
        <v>0.00167240960161323</v>
      </c>
      <c r="AJ71" s="220" t="n">
        <f aca="false">Algae_electricity_factor/N71</f>
        <v>0.00162821189614945</v>
      </c>
      <c r="AK71" s="220" t="n">
        <f aca="false">Algae_electricity_factor/O71</f>
        <v>0.00156515414033708</v>
      </c>
      <c r="AL71" s="220" t="n">
        <f aca="false">Algae_electricity_factor/P71</f>
        <v>0.00148146758676292</v>
      </c>
      <c r="AM71" s="220" t="n">
        <f aca="false">Algae_electricity_factor/Q71</f>
        <v>0.00138046174376517</v>
      </c>
      <c r="AN71" s="220" t="n">
        <f aca="false">Algae_electricity_factor/R71</f>
        <v>0.00127163221163452</v>
      </c>
      <c r="AO71" s="220" t="n">
        <f aca="false">Algae_electricity_factor/S71</f>
        <v>0.00116781672485352</v>
      </c>
      <c r="AP71" s="220" t="n">
        <f aca="false">Algae_electricity_factor/T71</f>
        <v>0.00107967272497528</v>
      </c>
      <c r="AQ71" s="220" t="n">
        <f aca="false">Algae_electricity_factor/U71</f>
        <v>0.00101193865355304</v>
      </c>
      <c r="AR71" s="220" t="n">
        <f aca="false">Algae_electricity_factor/V71</f>
        <v>0.000963770734142755</v>
      </c>
      <c r="AS71" s="220" t="n">
        <f aca="false">Algae_electricity_factor/W71</f>
        <v>0.000931373781781726</v>
      </c>
      <c r="AT71" s="220" t="n">
        <f aca="false">Algae_electricity_factor/X71</f>
        <v>0.000910392918594545</v>
      </c>
      <c r="AU71" s="220" t="n">
        <f aca="false">Algae_electricity_factor/Y71</f>
        <v>0.000897136279343715</v>
      </c>
      <c r="AV71" s="220" t="n">
        <f aca="false">Algae_electricity_factor/Z71</f>
        <v>0.000888890221279525</v>
      </c>
      <c r="AW71" s="220" t="n">
        <f aca="false">Algae_electricity_factor/AA71</f>
        <v>0.00088381074646649</v>
      </c>
      <c r="AX71" s="220" t="n">
        <f aca="false">Algae_electricity_factor/AB71</f>
        <v>0.000880700647383907</v>
      </c>
      <c r="AY71" s="220" t="n">
        <f aca="false">Algae_electricity_factor/AC71</f>
        <v>0.000878803393693012</v>
      </c>
      <c r="AZ71" s="211" t="n">
        <f aca="false">Algae_yield_cost_factor/H71</f>
        <v>0.096975129119105</v>
      </c>
      <c r="BA71" s="18" t="n">
        <f aca="false">Algae_yield_cost_factor/I71</f>
        <v>0.096975129119105</v>
      </c>
      <c r="BB71" s="18" t="n">
        <f aca="false">Algae_yield_cost_factor/J71</f>
        <v>0.096975129119105</v>
      </c>
      <c r="BC71" s="18" t="n">
        <f aca="false">Algae_yield_cost_factor/K71</f>
        <v>0.096975129119105</v>
      </c>
      <c r="BD71" s="18" t="n">
        <f aca="false">Algae_yield_cost_factor/L71</f>
        <v>0.096975129119105</v>
      </c>
      <c r="BE71" s="18" t="n">
        <f aca="false">Algae_yield_cost_factor/M71</f>
        <v>0.092584240663172</v>
      </c>
      <c r="BF71" s="18" t="n">
        <f aca="false">Algae_yield_cost_factor/N71</f>
        <v>0.0901374650673662</v>
      </c>
      <c r="BG71" s="18" t="n">
        <f aca="false">Algae_yield_cost_factor/O71</f>
        <v>0.0866466010863297</v>
      </c>
      <c r="BH71" s="18" t="n">
        <f aca="false">Algae_yield_cost_factor/P71</f>
        <v>0.0820137312385912</v>
      </c>
      <c r="BI71" s="18" t="n">
        <f aca="false">Algae_yield_cost_factor/Q71</f>
        <v>0.0764220692034839</v>
      </c>
      <c r="BJ71" s="18" t="n">
        <f aca="false">Algae_yield_cost_factor/R71</f>
        <v>0.0703972893981506</v>
      </c>
      <c r="BK71" s="18" t="n">
        <f aca="false">Algae_yield_cost_factor/S71</f>
        <v>0.0646500860794033</v>
      </c>
      <c r="BL71" s="18" t="n">
        <f aca="false">Algae_yield_cost_factor/T71</f>
        <v>0.0597704529501332</v>
      </c>
      <c r="BM71" s="18" t="n">
        <f aca="false">Algae_yield_cost_factor/U71</f>
        <v>0.0560207091292387</v>
      </c>
      <c r="BN71" s="18" t="n">
        <f aca="false">Algae_yield_cost_factor/V71</f>
        <v>0.0533541433318264</v>
      </c>
      <c r="BO71" s="18" t="n">
        <f aca="false">Algae_yield_cost_factor/W71</f>
        <v>0.0515606549236916</v>
      </c>
      <c r="BP71" s="18" t="n">
        <f aca="false">Algae_yield_cost_factor/X71</f>
        <v>0.0503991587897485</v>
      </c>
      <c r="BQ71" s="18" t="n">
        <f aca="false">Algae_yield_cost_factor/Y71</f>
        <v>0.0496652740538561</v>
      </c>
      <c r="BR71" s="18" t="n">
        <f aca="false">Algae_yield_cost_factor/Z71</f>
        <v>0.0492087740292204</v>
      </c>
      <c r="BS71" s="18" t="n">
        <f aca="false">Algae_yield_cost_factor/AA71</f>
        <v>0.0489275753814257</v>
      </c>
      <c r="BT71" s="18" t="n">
        <f aca="false">Algae_yield_cost_factor/AB71</f>
        <v>0.048755400956171</v>
      </c>
      <c r="BU71" s="18" t="n">
        <f aca="false">Algae_yield_cost_factor/AC71</f>
        <v>0.0486503693944367</v>
      </c>
    </row>
    <row r="72" customFormat="false" ht="15" hidden="false" customHeight="false" outlineLevel="0" collapsed="false">
      <c r="A72" s="18" t="s">
        <v>700</v>
      </c>
      <c r="B72" s="18" t="s">
        <v>22</v>
      </c>
      <c r="C72" s="18" t="s">
        <v>688</v>
      </c>
      <c r="D72" s="18" t="s">
        <v>688</v>
      </c>
      <c r="E72" s="185" t="n">
        <v>7.953</v>
      </c>
      <c r="F72" s="18" t="n">
        <f aca="false">E72/$B$2*$F$3/1000</f>
        <v>0.01948485</v>
      </c>
      <c r="G72" s="18" t="n">
        <f aca="false">LOOKUP(RIGHT(D72,5),Ref!$C$4:$C$21,Ref!$E$4:$E$21)*$G$3</f>
        <v>4.5</v>
      </c>
      <c r="H72" s="222" t="n">
        <f aca="false">$E72</f>
        <v>7.953</v>
      </c>
      <c r="I72" s="185" t="n">
        <f aca="false">$E72</f>
        <v>7.953</v>
      </c>
      <c r="J72" s="185" t="n">
        <f aca="false">$E72</f>
        <v>7.953</v>
      </c>
      <c r="K72" s="185" t="n">
        <f aca="false">$E72</f>
        <v>7.953</v>
      </c>
      <c r="L72" s="185" t="n">
        <f aca="false">$E72</f>
        <v>7.953</v>
      </c>
      <c r="M72" s="185" t="n">
        <f aca="false">M$3*$E72</f>
        <v>8.33017796938119</v>
      </c>
      <c r="N72" s="185" t="n">
        <f aca="false">N$3*$E72</f>
        <v>8.55630010570895</v>
      </c>
      <c r="O72" s="185" t="n">
        <f aca="false">O$3*$E72</f>
        <v>8.9010208388419</v>
      </c>
      <c r="P72" s="185" t="n">
        <f aca="false">P$3*$E72</f>
        <v>9.40383019083195</v>
      </c>
      <c r="Q72" s="185" t="n">
        <f aca="false">Q$3*$E72</f>
        <v>10.0918911241556</v>
      </c>
      <c r="R72" s="185" t="n">
        <f aca="false">R$3*$E72</f>
        <v>10.9555809389517</v>
      </c>
      <c r="S72" s="185" t="n">
        <f aca="false">S$3*$E72</f>
        <v>11.9295</v>
      </c>
      <c r="T72" s="185" t="n">
        <f aca="false">T$3*$E72</f>
        <v>12.9034190610483</v>
      </c>
      <c r="U72" s="185" t="n">
        <f aca="false">U$3*$E72</f>
        <v>13.7671088758444</v>
      </c>
      <c r="V72" s="185" t="n">
        <f aca="false">V$3*$E72</f>
        <v>14.455169809168</v>
      </c>
      <c r="W72" s="185" t="n">
        <f aca="false">W$3*$E72</f>
        <v>14.9579791611581</v>
      </c>
      <c r="X72" s="185" t="n">
        <f aca="false">X$3*$E72</f>
        <v>15.3026998942911</v>
      </c>
      <c r="Y72" s="185" t="n">
        <f aca="false">Y$3*$E72</f>
        <v>15.5288220306188</v>
      </c>
      <c r="Z72" s="185" t="n">
        <f aca="false">Z$3*$E72</f>
        <v>15.6728798288345</v>
      </c>
      <c r="AA72" s="185" t="n">
        <f aca="false">AA$3*$E72</f>
        <v>15.7629556721715</v>
      </c>
      <c r="AB72" s="185" t="n">
        <f aca="false">AB$3*$E72</f>
        <v>15.8186208452589</v>
      </c>
      <c r="AC72" s="185" t="n">
        <f aca="false">AC$3*$E72</f>
        <v>15.8527717565992</v>
      </c>
      <c r="AD72" s="219" t="n">
        <f aca="false">Algae_electricity_factor/H72</f>
        <v>0.00172810223859289</v>
      </c>
      <c r="AE72" s="220" t="n">
        <f aca="false">Algae_electricity_factor/I72</f>
        <v>0.00172810223859289</v>
      </c>
      <c r="AF72" s="220" t="n">
        <f aca="false">Algae_electricity_factor/J72</f>
        <v>0.00172810223859289</v>
      </c>
      <c r="AG72" s="220" t="n">
        <f aca="false">Algae_electricity_factor/K72</f>
        <v>0.00172810223859289</v>
      </c>
      <c r="AH72" s="220" t="n">
        <f aca="false">Algae_electricity_factor/L72</f>
        <v>0.00172810223859289</v>
      </c>
      <c r="AI72" s="220" t="n">
        <f aca="false">Algae_electricity_factor/M72</f>
        <v>0.0016498563600977</v>
      </c>
      <c r="AJ72" s="220" t="n">
        <f aca="false">Algae_electricity_factor/N72</f>
        <v>0.00160625468178229</v>
      </c>
      <c r="AK72" s="220" t="n">
        <f aca="false">Algae_electricity_factor/O72</f>
        <v>0.00154404728989685</v>
      </c>
      <c r="AL72" s="220" t="n">
        <f aca="false">Algae_electricity_factor/P72</f>
        <v>0.00146148928943105</v>
      </c>
      <c r="AM72" s="220" t="n">
        <f aca="false">Algae_electricity_factor/Q72</f>
        <v>0.00136184555842394</v>
      </c>
      <c r="AN72" s="220" t="n">
        <f aca="false">Algae_electricity_factor/R72</f>
        <v>0.00125448364446517</v>
      </c>
      <c r="AO72" s="220" t="n">
        <f aca="false">Algae_electricity_factor/S72</f>
        <v>0.00115206815906193</v>
      </c>
      <c r="AP72" s="220" t="n">
        <f aca="false">Algae_electricity_factor/T72</f>
        <v>0.00106511282308246</v>
      </c>
      <c r="AQ72" s="220" t="n">
        <f aca="false">Algae_electricity_factor/U72</f>
        <v>0.000998292177934583</v>
      </c>
      <c r="AR72" s="220" t="n">
        <f aca="false">Algae_electricity_factor/V72</f>
        <v>0.00095077382590224</v>
      </c>
      <c r="AS72" s="220" t="n">
        <f aca="false">Algae_electricity_factor/W72</f>
        <v>0.000918813761902927</v>
      </c>
      <c r="AT72" s="220" t="n">
        <f aca="false">Algae_electricity_factor/X72</f>
        <v>0.00089811583566744</v>
      </c>
      <c r="AU72" s="220" t="n">
        <f aca="false">Algae_electricity_factor/Y72</f>
        <v>0.00088503796852269</v>
      </c>
      <c r="AV72" s="220" t="n">
        <f aca="false">Algae_electricity_factor/Z72</f>
        <v>0.000876903112486336</v>
      </c>
      <c r="AW72" s="220" t="n">
        <f aca="false">Algae_electricity_factor/AA72</f>
        <v>0.000871892136814971</v>
      </c>
      <c r="AX72" s="220" t="n">
        <f aca="false">Algae_electricity_factor/AB72</f>
        <v>0.000868823978902589</v>
      </c>
      <c r="AY72" s="220" t="n">
        <f aca="false">Algae_electricity_factor/AC72</f>
        <v>0.000866952310583044</v>
      </c>
      <c r="AZ72" s="211" t="n">
        <f aca="false">Algae_yield_cost_factor/H72</f>
        <v>0.0956673732284946</v>
      </c>
      <c r="BA72" s="18" t="n">
        <f aca="false">Algae_yield_cost_factor/I72</f>
        <v>0.0956673732284946</v>
      </c>
      <c r="BB72" s="18" t="n">
        <f aca="false">Algae_yield_cost_factor/J72</f>
        <v>0.0956673732284946</v>
      </c>
      <c r="BC72" s="18" t="n">
        <f aca="false">Algae_yield_cost_factor/K72</f>
        <v>0.0956673732284946</v>
      </c>
      <c r="BD72" s="18" t="n">
        <f aca="false">Algae_yield_cost_factor/L72</f>
        <v>0.0956673732284946</v>
      </c>
      <c r="BE72" s="18" t="n">
        <f aca="false">Algae_yield_cost_factor/M72</f>
        <v>0.0913356979986272</v>
      </c>
      <c r="BF72" s="18" t="n">
        <f aca="false">Algae_yield_cost_factor/N72</f>
        <v>0.0889219183392793</v>
      </c>
      <c r="BG72" s="18" t="n">
        <f aca="false">Algae_yield_cost_factor/O72</f>
        <v>0.0854781303247921</v>
      </c>
      <c r="BH72" s="18" t="n">
        <f aca="false">Algae_yield_cost_factor/P72</f>
        <v>0.0809077369376559</v>
      </c>
      <c r="BI72" s="18" t="n">
        <f aca="false">Algae_yield_cost_factor/Q72</f>
        <v>0.0753914811333124</v>
      </c>
      <c r="BJ72" s="18" t="n">
        <f aca="false">Algae_yield_cost_factor/R72</f>
        <v>0.069447948358549</v>
      </c>
      <c r="BK72" s="18" t="n">
        <f aca="false">Algae_yield_cost_factor/S72</f>
        <v>0.0637782488189964</v>
      </c>
      <c r="BL72" s="18" t="n">
        <f aca="false">Algae_yield_cost_factor/T72</f>
        <v>0.0589644198709301</v>
      </c>
      <c r="BM72" s="18" t="n">
        <f aca="false">Algae_yield_cost_factor/U72</f>
        <v>0.0552652431347573</v>
      </c>
      <c r="BN72" s="18" t="n">
        <f aca="false">Algae_yield_cost_factor/V72</f>
        <v>0.0526346372495507</v>
      </c>
      <c r="BO72" s="18" t="n">
        <f aca="false">Algae_yield_cost_factor/W72</f>
        <v>0.0508653348884136</v>
      </c>
      <c r="BP72" s="18" t="n">
        <f aca="false">Algae_yield_cost_factor/X72</f>
        <v>0.0497195020840776</v>
      </c>
      <c r="BQ72" s="18" t="n">
        <f aca="false">Algae_yield_cost_factor/Y72</f>
        <v>0.0489955141340427</v>
      </c>
      <c r="BR72" s="18" t="n">
        <f aca="false">Algae_yield_cost_factor/Z72</f>
        <v>0.0485451702300712</v>
      </c>
      <c r="BS72" s="18" t="n">
        <f aca="false">Algae_yield_cost_factor/AA72</f>
        <v>0.0482677636802239</v>
      </c>
      <c r="BT72" s="18" t="n">
        <f aca="false">Algae_yield_cost_factor/AB72</f>
        <v>0.0480979111092517</v>
      </c>
      <c r="BU72" s="18" t="n">
        <f aca="false">Algae_yield_cost_factor/AC72</f>
        <v>0.0479942959482461</v>
      </c>
    </row>
    <row r="73" customFormat="false" ht="15" hidden="false" customHeight="false" outlineLevel="0" collapsed="false">
      <c r="A73" s="18" t="s">
        <v>743</v>
      </c>
      <c r="B73" s="18" t="s">
        <v>22</v>
      </c>
      <c r="C73" s="18" t="s">
        <v>683</v>
      </c>
      <c r="D73" s="18" t="s">
        <v>683</v>
      </c>
      <c r="E73" s="185" t="n">
        <v>1</v>
      </c>
      <c r="F73" s="18" t="n">
        <f aca="false">E73/$B$2*$F$3/1000</f>
        <v>0.00245</v>
      </c>
      <c r="G73" s="18" t="n">
        <f aca="false">LOOKUP(RIGHT(D73,5),Ref!$C$4:$C$21,Ref!$E$4:$E$21)*$G$3</f>
        <v>3</v>
      </c>
      <c r="H73" s="222" t="n">
        <f aca="false">$E73</f>
        <v>1</v>
      </c>
      <c r="I73" s="185" t="n">
        <f aca="false">$E73</f>
        <v>1</v>
      </c>
      <c r="J73" s="185" t="n">
        <f aca="false">$E73</f>
        <v>1</v>
      </c>
      <c r="K73" s="185" t="n">
        <f aca="false">$E73</f>
        <v>1</v>
      </c>
      <c r="L73" s="185" t="n">
        <f aca="false">$E73</f>
        <v>1</v>
      </c>
      <c r="M73" s="185" t="n">
        <f aca="false">M$3*$E73</f>
        <v>1.04742587317757</v>
      </c>
      <c r="N73" s="185" t="n">
        <f aca="false">N$3*$E73</f>
        <v>1.07585818002124</v>
      </c>
      <c r="O73" s="185" t="n">
        <f aca="false">O$3*$E73</f>
        <v>1.11920292202212</v>
      </c>
      <c r="P73" s="185" t="n">
        <f aca="false">P$3*$E73</f>
        <v>1.18242552380636</v>
      </c>
      <c r="Q73" s="185" t="n">
        <f aca="false">Q$3*$E73</f>
        <v>1.26894142137</v>
      </c>
      <c r="R73" s="185" t="n">
        <f aca="false">R$3*$E73</f>
        <v>1.37754066879815</v>
      </c>
      <c r="S73" s="185" t="n">
        <f aca="false">S$3*$E73</f>
        <v>1.5</v>
      </c>
      <c r="T73" s="185" t="n">
        <f aca="false">T$3*$E73</f>
        <v>1.62245933120185</v>
      </c>
      <c r="U73" s="185" t="n">
        <f aca="false">U$3*$E73</f>
        <v>1.73105857863</v>
      </c>
      <c r="V73" s="185" t="n">
        <f aca="false">V$3*$E73</f>
        <v>1.81757447619364</v>
      </c>
      <c r="W73" s="185" t="n">
        <f aca="false">W$3*$E73</f>
        <v>1.88079707797788</v>
      </c>
      <c r="X73" s="185" t="n">
        <f aca="false">X$3*$E73</f>
        <v>1.92414181997876</v>
      </c>
      <c r="Y73" s="185" t="n">
        <f aca="false">Y$3*$E73</f>
        <v>1.95257412682243</v>
      </c>
      <c r="Z73" s="185" t="n">
        <f aca="false">Z$3*$E73</f>
        <v>1.97068776924864</v>
      </c>
      <c r="AA73" s="185" t="n">
        <f aca="false">AA$3*$E73</f>
        <v>1.98201379003791</v>
      </c>
      <c r="AB73" s="185" t="n">
        <f aca="false">AB$3*$E73</f>
        <v>1.98901305736941</v>
      </c>
      <c r="AC73" s="185" t="n">
        <f aca="false">AC$3*$E73</f>
        <v>1.99330714907572</v>
      </c>
      <c r="AD73" s="219" t="n">
        <f aca="false">Algae_electricity_factor/H73</f>
        <v>0.0137435971035293</v>
      </c>
      <c r="AE73" s="220" t="n">
        <f aca="false">Algae_electricity_factor/I73</f>
        <v>0.0137435971035293</v>
      </c>
      <c r="AF73" s="220" t="n">
        <f aca="false">Algae_electricity_factor/J73</f>
        <v>0.0137435971035293</v>
      </c>
      <c r="AG73" s="220" t="n">
        <f aca="false">Algae_electricity_factor/K73</f>
        <v>0.0137435971035293</v>
      </c>
      <c r="AH73" s="220" t="n">
        <f aca="false">Algae_electricity_factor/L73</f>
        <v>0.0137435971035293</v>
      </c>
      <c r="AI73" s="220" t="n">
        <f aca="false">Algae_electricity_factor/M73</f>
        <v>0.013121307631857</v>
      </c>
      <c r="AJ73" s="220" t="n">
        <f aca="false">Algae_electricity_factor/N73</f>
        <v>0.0127745434842145</v>
      </c>
      <c r="AK73" s="220" t="n">
        <f aca="false">Algae_electricity_factor/O73</f>
        <v>0.0122798080965497</v>
      </c>
      <c r="AL73" s="220" t="n">
        <f aca="false">Algae_electricity_factor/P73</f>
        <v>0.0116232243188452</v>
      </c>
      <c r="AM73" s="220" t="n">
        <f aca="false">Algae_electricity_factor/Q73</f>
        <v>0.0108307577261456</v>
      </c>
      <c r="AN73" s="220" t="n">
        <f aca="false">Algae_electricity_factor/R73</f>
        <v>0.00997690842443153</v>
      </c>
      <c r="AO73" s="220" t="n">
        <f aca="false">Algae_electricity_factor/S73</f>
        <v>0.00916239806901951</v>
      </c>
      <c r="AP73" s="220" t="n">
        <f aca="false">Algae_electricity_factor/T73</f>
        <v>0.00847084228197482</v>
      </c>
      <c r="AQ73" s="220" t="n">
        <f aca="false">Algae_electricity_factor/U73</f>
        <v>0.00793941769111374</v>
      </c>
      <c r="AR73" s="220" t="n">
        <f aca="false">Algae_electricity_factor/V73</f>
        <v>0.00756150423740052</v>
      </c>
      <c r="AS73" s="220" t="n">
        <f aca="false">Algae_electricity_factor/W73</f>
        <v>0.00730732584841398</v>
      </c>
      <c r="AT73" s="220" t="n">
        <f aca="false">Algae_electricity_factor/X73</f>
        <v>0.00714271524106315</v>
      </c>
      <c r="AU73" s="220" t="n">
        <f aca="false">Algae_electricity_factor/Y73</f>
        <v>0.00703870696366095</v>
      </c>
      <c r="AV73" s="220" t="n">
        <f aca="false">Algae_electricity_factor/Z73</f>
        <v>0.00697401045360383</v>
      </c>
      <c r="AW73" s="220" t="n">
        <f aca="false">Algae_electricity_factor/AA73</f>
        <v>0.00693415816408946</v>
      </c>
      <c r="AX73" s="220" t="n">
        <f aca="false">Algae_electricity_factor/AB73</f>
        <v>0.00690975710421229</v>
      </c>
      <c r="AY73" s="220" t="n">
        <f aca="false">Algae_electricity_factor/AC73</f>
        <v>0.00689487172606695</v>
      </c>
      <c r="AZ73" s="211" t="n">
        <f aca="false">Algae_yield_cost_factor/H73</f>
        <v>0.760842619286218</v>
      </c>
      <c r="BA73" s="18" t="n">
        <f aca="false">Algae_yield_cost_factor/I73</f>
        <v>0.760842619286218</v>
      </c>
      <c r="BB73" s="18" t="n">
        <f aca="false">Algae_yield_cost_factor/J73</f>
        <v>0.760842619286218</v>
      </c>
      <c r="BC73" s="18" t="n">
        <f aca="false">Algae_yield_cost_factor/K73</f>
        <v>0.760842619286218</v>
      </c>
      <c r="BD73" s="18" t="n">
        <f aca="false">Algae_yield_cost_factor/L73</f>
        <v>0.760842619286218</v>
      </c>
      <c r="BE73" s="18" t="n">
        <f aca="false">Algae_yield_cost_factor/M73</f>
        <v>0.726392806183082</v>
      </c>
      <c r="BF73" s="18" t="n">
        <f aca="false">Algae_yield_cost_factor/N73</f>
        <v>0.707196016552288</v>
      </c>
      <c r="BG73" s="18" t="n">
        <f aca="false">Algae_yield_cost_factor/O73</f>
        <v>0.679807570473071</v>
      </c>
      <c r="BH73" s="18" t="n">
        <f aca="false">Algae_yield_cost_factor/P73</f>
        <v>0.643459231865177</v>
      </c>
      <c r="BI73" s="18" t="n">
        <f aca="false">Algae_yield_cost_factor/Q73</f>
        <v>0.599588449453234</v>
      </c>
      <c r="BJ73" s="18" t="n">
        <f aca="false">Algae_yield_cost_factor/R73</f>
        <v>0.55231953329554</v>
      </c>
      <c r="BK73" s="18" t="n">
        <f aca="false">Algae_yield_cost_factor/S73</f>
        <v>0.507228412857479</v>
      </c>
      <c r="BL73" s="18" t="n">
        <f aca="false">Algae_yield_cost_factor/T73</f>
        <v>0.468944031233507</v>
      </c>
      <c r="BM73" s="18" t="n">
        <f aca="false">Algae_yield_cost_factor/U73</f>
        <v>0.439524478650725</v>
      </c>
      <c r="BN73" s="18" t="n">
        <f aca="false">Algae_yield_cost_factor/V73</f>
        <v>0.418603270045677</v>
      </c>
      <c r="BO73" s="18" t="n">
        <f aca="false">Algae_yield_cost_factor/W73</f>
        <v>0.404532008367553</v>
      </c>
      <c r="BP73" s="18" t="n">
        <f aca="false">Algae_yield_cost_factor/X73</f>
        <v>0.395419200074669</v>
      </c>
      <c r="BQ73" s="18" t="n">
        <f aca="false">Algae_yield_cost_factor/Y73</f>
        <v>0.389661323908042</v>
      </c>
      <c r="BR73" s="18" t="n">
        <f aca="false">Algae_yield_cost_factor/Z73</f>
        <v>0.386079738839756</v>
      </c>
      <c r="BS73" s="18" t="n">
        <f aca="false">Algae_yield_cost_factor/AA73</f>
        <v>0.38387352454882</v>
      </c>
      <c r="BT73" s="18" t="n">
        <f aca="false">Algae_yield_cost_factor/AB73</f>
        <v>0.382522687051879</v>
      </c>
      <c r="BU73" s="18" t="n">
        <f aca="false">Algae_yield_cost_factor/AC73</f>
        <v>0.381698635676401</v>
      </c>
    </row>
    <row r="74" customFormat="false" ht="15" hidden="false" customHeight="false" outlineLevel="0" collapsed="false">
      <c r="A74" s="18" t="s">
        <v>743</v>
      </c>
      <c r="B74" s="18" t="s">
        <v>22</v>
      </c>
      <c r="C74" s="18" t="s">
        <v>684</v>
      </c>
      <c r="D74" s="18" t="s">
        <v>684</v>
      </c>
      <c r="E74" s="185" t="n">
        <v>1</v>
      </c>
      <c r="F74" s="18" t="n">
        <f aca="false">E74/$B$2*$F$3/1000</f>
        <v>0.00245</v>
      </c>
      <c r="G74" s="18" t="n">
        <f aca="false">LOOKUP(RIGHT(D74,5),Ref!$C$4:$C$21,Ref!$E$4:$E$21)*$G$3</f>
        <v>3.5</v>
      </c>
      <c r="H74" s="222" t="n">
        <f aca="false">$E74</f>
        <v>1</v>
      </c>
      <c r="I74" s="185" t="n">
        <f aca="false">$E74</f>
        <v>1</v>
      </c>
      <c r="J74" s="185" t="n">
        <f aca="false">$E74</f>
        <v>1</v>
      </c>
      <c r="K74" s="185" t="n">
        <f aca="false">$E74</f>
        <v>1</v>
      </c>
      <c r="L74" s="185" t="n">
        <f aca="false">$E74</f>
        <v>1</v>
      </c>
      <c r="M74" s="185" t="n">
        <f aca="false">M$3*$E74</f>
        <v>1.04742587317757</v>
      </c>
      <c r="N74" s="185" t="n">
        <f aca="false">N$3*$E74</f>
        <v>1.07585818002124</v>
      </c>
      <c r="O74" s="185" t="n">
        <f aca="false">O$3*$E74</f>
        <v>1.11920292202212</v>
      </c>
      <c r="P74" s="185" t="n">
        <f aca="false">P$3*$E74</f>
        <v>1.18242552380636</v>
      </c>
      <c r="Q74" s="185" t="n">
        <f aca="false">Q$3*$E74</f>
        <v>1.26894142137</v>
      </c>
      <c r="R74" s="185" t="n">
        <f aca="false">R$3*$E74</f>
        <v>1.37754066879815</v>
      </c>
      <c r="S74" s="185" t="n">
        <f aca="false">S$3*$E74</f>
        <v>1.5</v>
      </c>
      <c r="T74" s="185" t="n">
        <f aca="false">T$3*$E74</f>
        <v>1.62245933120185</v>
      </c>
      <c r="U74" s="185" t="n">
        <f aca="false">U$3*$E74</f>
        <v>1.73105857863</v>
      </c>
      <c r="V74" s="185" t="n">
        <f aca="false">V$3*$E74</f>
        <v>1.81757447619364</v>
      </c>
      <c r="W74" s="185" t="n">
        <f aca="false">W$3*$E74</f>
        <v>1.88079707797788</v>
      </c>
      <c r="X74" s="185" t="n">
        <f aca="false">X$3*$E74</f>
        <v>1.92414181997876</v>
      </c>
      <c r="Y74" s="185" t="n">
        <f aca="false">Y$3*$E74</f>
        <v>1.95257412682243</v>
      </c>
      <c r="Z74" s="185" t="n">
        <f aca="false">Z$3*$E74</f>
        <v>1.97068776924864</v>
      </c>
      <c r="AA74" s="185" t="n">
        <f aca="false">AA$3*$E74</f>
        <v>1.98201379003791</v>
      </c>
      <c r="AB74" s="185" t="n">
        <f aca="false">AB$3*$E74</f>
        <v>1.98901305736941</v>
      </c>
      <c r="AC74" s="185" t="n">
        <f aca="false">AC$3*$E74</f>
        <v>1.99330714907572</v>
      </c>
      <c r="AD74" s="219" t="n">
        <f aca="false">Algae_electricity_factor/H74</f>
        <v>0.0137435971035293</v>
      </c>
      <c r="AE74" s="220" t="n">
        <f aca="false">Algae_electricity_factor/I74</f>
        <v>0.0137435971035293</v>
      </c>
      <c r="AF74" s="220" t="n">
        <f aca="false">Algae_electricity_factor/J74</f>
        <v>0.0137435971035293</v>
      </c>
      <c r="AG74" s="220" t="n">
        <f aca="false">Algae_electricity_factor/K74</f>
        <v>0.0137435971035293</v>
      </c>
      <c r="AH74" s="220" t="n">
        <f aca="false">Algae_electricity_factor/L74</f>
        <v>0.0137435971035293</v>
      </c>
      <c r="AI74" s="220" t="n">
        <f aca="false">Algae_electricity_factor/M74</f>
        <v>0.013121307631857</v>
      </c>
      <c r="AJ74" s="220" t="n">
        <f aca="false">Algae_electricity_factor/N74</f>
        <v>0.0127745434842145</v>
      </c>
      <c r="AK74" s="220" t="n">
        <f aca="false">Algae_electricity_factor/O74</f>
        <v>0.0122798080965497</v>
      </c>
      <c r="AL74" s="220" t="n">
        <f aca="false">Algae_electricity_factor/P74</f>
        <v>0.0116232243188452</v>
      </c>
      <c r="AM74" s="220" t="n">
        <f aca="false">Algae_electricity_factor/Q74</f>
        <v>0.0108307577261456</v>
      </c>
      <c r="AN74" s="220" t="n">
        <f aca="false">Algae_electricity_factor/R74</f>
        <v>0.00997690842443153</v>
      </c>
      <c r="AO74" s="220" t="n">
        <f aca="false">Algae_electricity_factor/S74</f>
        <v>0.00916239806901951</v>
      </c>
      <c r="AP74" s="220" t="n">
        <f aca="false">Algae_electricity_factor/T74</f>
        <v>0.00847084228197482</v>
      </c>
      <c r="AQ74" s="220" t="n">
        <f aca="false">Algae_electricity_factor/U74</f>
        <v>0.00793941769111374</v>
      </c>
      <c r="AR74" s="220" t="n">
        <f aca="false">Algae_electricity_factor/V74</f>
        <v>0.00756150423740052</v>
      </c>
      <c r="AS74" s="220" t="n">
        <f aca="false">Algae_electricity_factor/W74</f>
        <v>0.00730732584841398</v>
      </c>
      <c r="AT74" s="220" t="n">
        <f aca="false">Algae_electricity_factor/X74</f>
        <v>0.00714271524106315</v>
      </c>
      <c r="AU74" s="220" t="n">
        <f aca="false">Algae_electricity_factor/Y74</f>
        <v>0.00703870696366095</v>
      </c>
      <c r="AV74" s="220" t="n">
        <f aca="false">Algae_electricity_factor/Z74</f>
        <v>0.00697401045360383</v>
      </c>
      <c r="AW74" s="220" t="n">
        <f aca="false">Algae_electricity_factor/AA74</f>
        <v>0.00693415816408946</v>
      </c>
      <c r="AX74" s="220" t="n">
        <f aca="false">Algae_electricity_factor/AB74</f>
        <v>0.00690975710421229</v>
      </c>
      <c r="AY74" s="220" t="n">
        <f aca="false">Algae_electricity_factor/AC74</f>
        <v>0.00689487172606695</v>
      </c>
      <c r="AZ74" s="211" t="n">
        <f aca="false">Algae_yield_cost_factor/H74</f>
        <v>0.760842619286218</v>
      </c>
      <c r="BA74" s="18" t="n">
        <f aca="false">Algae_yield_cost_factor/I74</f>
        <v>0.760842619286218</v>
      </c>
      <c r="BB74" s="18" t="n">
        <f aca="false">Algae_yield_cost_factor/J74</f>
        <v>0.760842619286218</v>
      </c>
      <c r="BC74" s="18" t="n">
        <f aca="false">Algae_yield_cost_factor/K74</f>
        <v>0.760842619286218</v>
      </c>
      <c r="BD74" s="18" t="n">
        <f aca="false">Algae_yield_cost_factor/L74</f>
        <v>0.760842619286218</v>
      </c>
      <c r="BE74" s="18" t="n">
        <f aca="false">Algae_yield_cost_factor/M74</f>
        <v>0.726392806183082</v>
      </c>
      <c r="BF74" s="18" t="n">
        <f aca="false">Algae_yield_cost_factor/N74</f>
        <v>0.707196016552288</v>
      </c>
      <c r="BG74" s="18" t="n">
        <f aca="false">Algae_yield_cost_factor/O74</f>
        <v>0.679807570473071</v>
      </c>
      <c r="BH74" s="18" t="n">
        <f aca="false">Algae_yield_cost_factor/P74</f>
        <v>0.643459231865177</v>
      </c>
      <c r="BI74" s="18" t="n">
        <f aca="false">Algae_yield_cost_factor/Q74</f>
        <v>0.599588449453234</v>
      </c>
      <c r="BJ74" s="18" t="n">
        <f aca="false">Algae_yield_cost_factor/R74</f>
        <v>0.55231953329554</v>
      </c>
      <c r="BK74" s="18" t="n">
        <f aca="false">Algae_yield_cost_factor/S74</f>
        <v>0.507228412857479</v>
      </c>
      <c r="BL74" s="18" t="n">
        <f aca="false">Algae_yield_cost_factor/T74</f>
        <v>0.468944031233507</v>
      </c>
      <c r="BM74" s="18" t="n">
        <f aca="false">Algae_yield_cost_factor/U74</f>
        <v>0.439524478650725</v>
      </c>
      <c r="BN74" s="18" t="n">
        <f aca="false">Algae_yield_cost_factor/V74</f>
        <v>0.418603270045677</v>
      </c>
      <c r="BO74" s="18" t="n">
        <f aca="false">Algae_yield_cost_factor/W74</f>
        <v>0.404532008367553</v>
      </c>
      <c r="BP74" s="18" t="n">
        <f aca="false">Algae_yield_cost_factor/X74</f>
        <v>0.395419200074669</v>
      </c>
      <c r="BQ74" s="18" t="n">
        <f aca="false">Algae_yield_cost_factor/Y74</f>
        <v>0.389661323908042</v>
      </c>
      <c r="BR74" s="18" t="n">
        <f aca="false">Algae_yield_cost_factor/Z74</f>
        <v>0.386079738839756</v>
      </c>
      <c r="BS74" s="18" t="n">
        <f aca="false">Algae_yield_cost_factor/AA74</f>
        <v>0.38387352454882</v>
      </c>
      <c r="BT74" s="18" t="n">
        <f aca="false">Algae_yield_cost_factor/AB74</f>
        <v>0.382522687051879</v>
      </c>
      <c r="BU74" s="18" t="n">
        <f aca="false">Algae_yield_cost_factor/AC74</f>
        <v>0.381698635676401</v>
      </c>
    </row>
    <row r="75" customFormat="false" ht="15" hidden="false" customHeight="false" outlineLevel="0" collapsed="false">
      <c r="A75" s="18" t="s">
        <v>743</v>
      </c>
      <c r="B75" s="18" t="s">
        <v>22</v>
      </c>
      <c r="C75" s="18" t="s">
        <v>685</v>
      </c>
      <c r="D75" s="18" t="s">
        <v>685</v>
      </c>
      <c r="E75" s="185" t="n">
        <v>1</v>
      </c>
      <c r="F75" s="18" t="n">
        <f aca="false">E75/$B$2*$F$3/1000</f>
        <v>0.00245</v>
      </c>
      <c r="G75" s="18" t="n">
        <f aca="false">LOOKUP(RIGHT(D75,5),Ref!$C$4:$C$21,Ref!$E$4:$E$21)*$G$3</f>
        <v>4</v>
      </c>
      <c r="H75" s="222" t="n">
        <f aca="false">$E75</f>
        <v>1</v>
      </c>
      <c r="I75" s="185" t="n">
        <f aca="false">$E75</f>
        <v>1</v>
      </c>
      <c r="J75" s="185" t="n">
        <f aca="false">$E75</f>
        <v>1</v>
      </c>
      <c r="K75" s="185" t="n">
        <f aca="false">$E75</f>
        <v>1</v>
      </c>
      <c r="L75" s="185" t="n">
        <f aca="false">$E75</f>
        <v>1</v>
      </c>
      <c r="M75" s="185" t="n">
        <f aca="false">M$3*$E75</f>
        <v>1.04742587317757</v>
      </c>
      <c r="N75" s="185" t="n">
        <f aca="false">N$3*$E75</f>
        <v>1.07585818002124</v>
      </c>
      <c r="O75" s="185" t="n">
        <f aca="false">O$3*$E75</f>
        <v>1.11920292202212</v>
      </c>
      <c r="P75" s="185" t="n">
        <f aca="false">P$3*$E75</f>
        <v>1.18242552380636</v>
      </c>
      <c r="Q75" s="185" t="n">
        <f aca="false">Q$3*$E75</f>
        <v>1.26894142137</v>
      </c>
      <c r="R75" s="185" t="n">
        <f aca="false">R$3*$E75</f>
        <v>1.37754066879815</v>
      </c>
      <c r="S75" s="185" t="n">
        <f aca="false">S$3*$E75</f>
        <v>1.5</v>
      </c>
      <c r="T75" s="185" t="n">
        <f aca="false">T$3*$E75</f>
        <v>1.62245933120185</v>
      </c>
      <c r="U75" s="185" t="n">
        <f aca="false">U$3*$E75</f>
        <v>1.73105857863</v>
      </c>
      <c r="V75" s="185" t="n">
        <f aca="false">V$3*$E75</f>
        <v>1.81757447619364</v>
      </c>
      <c r="W75" s="185" t="n">
        <f aca="false">W$3*$E75</f>
        <v>1.88079707797788</v>
      </c>
      <c r="X75" s="185" t="n">
        <f aca="false">X$3*$E75</f>
        <v>1.92414181997876</v>
      </c>
      <c r="Y75" s="185" t="n">
        <f aca="false">Y$3*$E75</f>
        <v>1.95257412682243</v>
      </c>
      <c r="Z75" s="185" t="n">
        <f aca="false">Z$3*$E75</f>
        <v>1.97068776924864</v>
      </c>
      <c r="AA75" s="185" t="n">
        <f aca="false">AA$3*$E75</f>
        <v>1.98201379003791</v>
      </c>
      <c r="AB75" s="185" t="n">
        <f aca="false">AB$3*$E75</f>
        <v>1.98901305736941</v>
      </c>
      <c r="AC75" s="185" t="n">
        <f aca="false">AC$3*$E75</f>
        <v>1.99330714907572</v>
      </c>
      <c r="AD75" s="219" t="n">
        <f aca="false">Algae_electricity_factor/H75</f>
        <v>0.0137435971035293</v>
      </c>
      <c r="AE75" s="220" t="n">
        <f aca="false">Algae_electricity_factor/I75</f>
        <v>0.0137435971035293</v>
      </c>
      <c r="AF75" s="220" t="n">
        <f aca="false">Algae_electricity_factor/J75</f>
        <v>0.0137435971035293</v>
      </c>
      <c r="AG75" s="220" t="n">
        <f aca="false">Algae_electricity_factor/K75</f>
        <v>0.0137435971035293</v>
      </c>
      <c r="AH75" s="220" t="n">
        <f aca="false">Algae_electricity_factor/L75</f>
        <v>0.0137435971035293</v>
      </c>
      <c r="AI75" s="220" t="n">
        <f aca="false">Algae_electricity_factor/M75</f>
        <v>0.013121307631857</v>
      </c>
      <c r="AJ75" s="220" t="n">
        <f aca="false">Algae_electricity_factor/N75</f>
        <v>0.0127745434842145</v>
      </c>
      <c r="AK75" s="220" t="n">
        <f aca="false">Algae_electricity_factor/O75</f>
        <v>0.0122798080965497</v>
      </c>
      <c r="AL75" s="220" t="n">
        <f aca="false">Algae_electricity_factor/P75</f>
        <v>0.0116232243188452</v>
      </c>
      <c r="AM75" s="220" t="n">
        <f aca="false">Algae_electricity_factor/Q75</f>
        <v>0.0108307577261456</v>
      </c>
      <c r="AN75" s="220" t="n">
        <f aca="false">Algae_electricity_factor/R75</f>
        <v>0.00997690842443153</v>
      </c>
      <c r="AO75" s="220" t="n">
        <f aca="false">Algae_electricity_factor/S75</f>
        <v>0.00916239806901951</v>
      </c>
      <c r="AP75" s="220" t="n">
        <f aca="false">Algae_electricity_factor/T75</f>
        <v>0.00847084228197482</v>
      </c>
      <c r="AQ75" s="220" t="n">
        <f aca="false">Algae_electricity_factor/U75</f>
        <v>0.00793941769111374</v>
      </c>
      <c r="AR75" s="220" t="n">
        <f aca="false">Algae_electricity_factor/V75</f>
        <v>0.00756150423740052</v>
      </c>
      <c r="AS75" s="220" t="n">
        <f aca="false">Algae_electricity_factor/W75</f>
        <v>0.00730732584841398</v>
      </c>
      <c r="AT75" s="220" t="n">
        <f aca="false">Algae_electricity_factor/X75</f>
        <v>0.00714271524106315</v>
      </c>
      <c r="AU75" s="220" t="n">
        <f aca="false">Algae_electricity_factor/Y75</f>
        <v>0.00703870696366095</v>
      </c>
      <c r="AV75" s="220" t="n">
        <f aca="false">Algae_electricity_factor/Z75</f>
        <v>0.00697401045360383</v>
      </c>
      <c r="AW75" s="220" t="n">
        <f aca="false">Algae_electricity_factor/AA75</f>
        <v>0.00693415816408946</v>
      </c>
      <c r="AX75" s="220" t="n">
        <f aca="false">Algae_electricity_factor/AB75</f>
        <v>0.00690975710421229</v>
      </c>
      <c r="AY75" s="220" t="n">
        <f aca="false">Algae_electricity_factor/AC75</f>
        <v>0.00689487172606695</v>
      </c>
      <c r="AZ75" s="211" t="n">
        <f aca="false">Algae_yield_cost_factor/H75</f>
        <v>0.760842619286218</v>
      </c>
      <c r="BA75" s="18" t="n">
        <f aca="false">Algae_yield_cost_factor/I75</f>
        <v>0.760842619286218</v>
      </c>
      <c r="BB75" s="18" t="n">
        <f aca="false">Algae_yield_cost_factor/J75</f>
        <v>0.760842619286218</v>
      </c>
      <c r="BC75" s="18" t="n">
        <f aca="false">Algae_yield_cost_factor/K75</f>
        <v>0.760842619286218</v>
      </c>
      <c r="BD75" s="18" t="n">
        <f aca="false">Algae_yield_cost_factor/L75</f>
        <v>0.760842619286218</v>
      </c>
      <c r="BE75" s="18" t="n">
        <f aca="false">Algae_yield_cost_factor/M75</f>
        <v>0.726392806183082</v>
      </c>
      <c r="BF75" s="18" t="n">
        <f aca="false">Algae_yield_cost_factor/N75</f>
        <v>0.707196016552288</v>
      </c>
      <c r="BG75" s="18" t="n">
        <f aca="false">Algae_yield_cost_factor/O75</f>
        <v>0.679807570473071</v>
      </c>
      <c r="BH75" s="18" t="n">
        <f aca="false">Algae_yield_cost_factor/P75</f>
        <v>0.643459231865177</v>
      </c>
      <c r="BI75" s="18" t="n">
        <f aca="false">Algae_yield_cost_factor/Q75</f>
        <v>0.599588449453234</v>
      </c>
      <c r="BJ75" s="18" t="n">
        <f aca="false">Algae_yield_cost_factor/R75</f>
        <v>0.55231953329554</v>
      </c>
      <c r="BK75" s="18" t="n">
        <f aca="false">Algae_yield_cost_factor/S75</f>
        <v>0.507228412857479</v>
      </c>
      <c r="BL75" s="18" t="n">
        <f aca="false">Algae_yield_cost_factor/T75</f>
        <v>0.468944031233507</v>
      </c>
      <c r="BM75" s="18" t="n">
        <f aca="false">Algae_yield_cost_factor/U75</f>
        <v>0.439524478650725</v>
      </c>
      <c r="BN75" s="18" t="n">
        <f aca="false">Algae_yield_cost_factor/V75</f>
        <v>0.418603270045677</v>
      </c>
      <c r="BO75" s="18" t="n">
        <f aca="false">Algae_yield_cost_factor/W75</f>
        <v>0.404532008367553</v>
      </c>
      <c r="BP75" s="18" t="n">
        <f aca="false">Algae_yield_cost_factor/X75</f>
        <v>0.395419200074669</v>
      </c>
      <c r="BQ75" s="18" t="n">
        <f aca="false">Algae_yield_cost_factor/Y75</f>
        <v>0.389661323908042</v>
      </c>
      <c r="BR75" s="18" t="n">
        <f aca="false">Algae_yield_cost_factor/Z75</f>
        <v>0.386079738839756</v>
      </c>
      <c r="BS75" s="18" t="n">
        <f aca="false">Algae_yield_cost_factor/AA75</f>
        <v>0.38387352454882</v>
      </c>
      <c r="BT75" s="18" t="n">
        <f aca="false">Algae_yield_cost_factor/AB75</f>
        <v>0.382522687051879</v>
      </c>
      <c r="BU75" s="18" t="n">
        <f aca="false">Algae_yield_cost_factor/AC75</f>
        <v>0.381698635676401</v>
      </c>
    </row>
    <row r="76" customFormat="false" ht="15" hidden="false" customHeight="false" outlineLevel="0" collapsed="false">
      <c r="A76" s="18" t="s">
        <v>743</v>
      </c>
      <c r="B76" s="18" t="s">
        <v>22</v>
      </c>
      <c r="C76" s="18" t="s">
        <v>686</v>
      </c>
      <c r="D76" s="18" t="s">
        <v>686</v>
      </c>
      <c r="E76" s="185" t="n">
        <v>1</v>
      </c>
      <c r="F76" s="18" t="n">
        <f aca="false">E76/$B$2*$F$3/1000</f>
        <v>0.00245</v>
      </c>
      <c r="G76" s="18" t="n">
        <f aca="false">LOOKUP(RIGHT(D76,5),Ref!$C$4:$C$21,Ref!$E$4:$E$21)*$G$3</f>
        <v>4.5</v>
      </c>
      <c r="H76" s="222" t="n">
        <f aca="false">$E76</f>
        <v>1</v>
      </c>
      <c r="I76" s="185" t="n">
        <f aca="false">$E76</f>
        <v>1</v>
      </c>
      <c r="J76" s="185" t="n">
        <f aca="false">$E76</f>
        <v>1</v>
      </c>
      <c r="K76" s="185" t="n">
        <f aca="false">$E76</f>
        <v>1</v>
      </c>
      <c r="L76" s="185" t="n">
        <f aca="false">$E76</f>
        <v>1</v>
      </c>
      <c r="M76" s="185" t="n">
        <f aca="false">M$3*$E76</f>
        <v>1.04742587317757</v>
      </c>
      <c r="N76" s="185" t="n">
        <f aca="false">N$3*$E76</f>
        <v>1.07585818002124</v>
      </c>
      <c r="O76" s="185" t="n">
        <f aca="false">O$3*$E76</f>
        <v>1.11920292202212</v>
      </c>
      <c r="P76" s="185" t="n">
        <f aca="false">P$3*$E76</f>
        <v>1.18242552380636</v>
      </c>
      <c r="Q76" s="185" t="n">
        <f aca="false">Q$3*$E76</f>
        <v>1.26894142137</v>
      </c>
      <c r="R76" s="185" t="n">
        <f aca="false">R$3*$E76</f>
        <v>1.37754066879815</v>
      </c>
      <c r="S76" s="185" t="n">
        <f aca="false">S$3*$E76</f>
        <v>1.5</v>
      </c>
      <c r="T76" s="185" t="n">
        <f aca="false">T$3*$E76</f>
        <v>1.62245933120185</v>
      </c>
      <c r="U76" s="185" t="n">
        <f aca="false">U$3*$E76</f>
        <v>1.73105857863</v>
      </c>
      <c r="V76" s="185" t="n">
        <f aca="false">V$3*$E76</f>
        <v>1.81757447619364</v>
      </c>
      <c r="W76" s="185" t="n">
        <f aca="false">W$3*$E76</f>
        <v>1.88079707797788</v>
      </c>
      <c r="X76" s="185" t="n">
        <f aca="false">X$3*$E76</f>
        <v>1.92414181997876</v>
      </c>
      <c r="Y76" s="185" t="n">
        <f aca="false">Y$3*$E76</f>
        <v>1.95257412682243</v>
      </c>
      <c r="Z76" s="185" t="n">
        <f aca="false">Z$3*$E76</f>
        <v>1.97068776924864</v>
      </c>
      <c r="AA76" s="185" t="n">
        <f aca="false">AA$3*$E76</f>
        <v>1.98201379003791</v>
      </c>
      <c r="AB76" s="185" t="n">
        <f aca="false">AB$3*$E76</f>
        <v>1.98901305736941</v>
      </c>
      <c r="AC76" s="185" t="n">
        <f aca="false">AC$3*$E76</f>
        <v>1.99330714907572</v>
      </c>
      <c r="AD76" s="219" t="n">
        <f aca="false">Algae_electricity_factor/H76</f>
        <v>0.0137435971035293</v>
      </c>
      <c r="AE76" s="220" t="n">
        <f aca="false">Algae_electricity_factor/I76</f>
        <v>0.0137435971035293</v>
      </c>
      <c r="AF76" s="220" t="n">
        <f aca="false">Algae_electricity_factor/J76</f>
        <v>0.0137435971035293</v>
      </c>
      <c r="AG76" s="220" t="n">
        <f aca="false">Algae_electricity_factor/K76</f>
        <v>0.0137435971035293</v>
      </c>
      <c r="AH76" s="220" t="n">
        <f aca="false">Algae_electricity_factor/L76</f>
        <v>0.0137435971035293</v>
      </c>
      <c r="AI76" s="220" t="n">
        <f aca="false">Algae_electricity_factor/M76</f>
        <v>0.013121307631857</v>
      </c>
      <c r="AJ76" s="220" t="n">
        <f aca="false">Algae_electricity_factor/N76</f>
        <v>0.0127745434842145</v>
      </c>
      <c r="AK76" s="220" t="n">
        <f aca="false">Algae_electricity_factor/O76</f>
        <v>0.0122798080965497</v>
      </c>
      <c r="AL76" s="220" t="n">
        <f aca="false">Algae_electricity_factor/P76</f>
        <v>0.0116232243188452</v>
      </c>
      <c r="AM76" s="220" t="n">
        <f aca="false">Algae_electricity_factor/Q76</f>
        <v>0.0108307577261456</v>
      </c>
      <c r="AN76" s="220" t="n">
        <f aca="false">Algae_electricity_factor/R76</f>
        <v>0.00997690842443153</v>
      </c>
      <c r="AO76" s="220" t="n">
        <f aca="false">Algae_electricity_factor/S76</f>
        <v>0.00916239806901951</v>
      </c>
      <c r="AP76" s="220" t="n">
        <f aca="false">Algae_electricity_factor/T76</f>
        <v>0.00847084228197482</v>
      </c>
      <c r="AQ76" s="220" t="n">
        <f aca="false">Algae_electricity_factor/U76</f>
        <v>0.00793941769111374</v>
      </c>
      <c r="AR76" s="220" t="n">
        <f aca="false">Algae_electricity_factor/V76</f>
        <v>0.00756150423740052</v>
      </c>
      <c r="AS76" s="220" t="n">
        <f aca="false">Algae_electricity_factor/W76</f>
        <v>0.00730732584841398</v>
      </c>
      <c r="AT76" s="220" t="n">
        <f aca="false">Algae_electricity_factor/X76</f>
        <v>0.00714271524106315</v>
      </c>
      <c r="AU76" s="220" t="n">
        <f aca="false">Algae_electricity_factor/Y76</f>
        <v>0.00703870696366095</v>
      </c>
      <c r="AV76" s="220" t="n">
        <f aca="false">Algae_electricity_factor/Z76</f>
        <v>0.00697401045360383</v>
      </c>
      <c r="AW76" s="220" t="n">
        <f aca="false">Algae_electricity_factor/AA76</f>
        <v>0.00693415816408946</v>
      </c>
      <c r="AX76" s="220" t="n">
        <f aca="false">Algae_electricity_factor/AB76</f>
        <v>0.00690975710421229</v>
      </c>
      <c r="AY76" s="220" t="n">
        <f aca="false">Algae_electricity_factor/AC76</f>
        <v>0.00689487172606695</v>
      </c>
      <c r="AZ76" s="211" t="n">
        <f aca="false">Algae_yield_cost_factor/H76</f>
        <v>0.760842619286218</v>
      </c>
      <c r="BA76" s="18" t="n">
        <f aca="false">Algae_yield_cost_factor/I76</f>
        <v>0.760842619286218</v>
      </c>
      <c r="BB76" s="18" t="n">
        <f aca="false">Algae_yield_cost_factor/J76</f>
        <v>0.760842619286218</v>
      </c>
      <c r="BC76" s="18" t="n">
        <f aca="false">Algae_yield_cost_factor/K76</f>
        <v>0.760842619286218</v>
      </c>
      <c r="BD76" s="18" t="n">
        <f aca="false">Algae_yield_cost_factor/L76</f>
        <v>0.760842619286218</v>
      </c>
      <c r="BE76" s="18" t="n">
        <f aca="false">Algae_yield_cost_factor/M76</f>
        <v>0.726392806183082</v>
      </c>
      <c r="BF76" s="18" t="n">
        <f aca="false">Algae_yield_cost_factor/N76</f>
        <v>0.707196016552288</v>
      </c>
      <c r="BG76" s="18" t="n">
        <f aca="false">Algae_yield_cost_factor/O76</f>
        <v>0.679807570473071</v>
      </c>
      <c r="BH76" s="18" t="n">
        <f aca="false">Algae_yield_cost_factor/P76</f>
        <v>0.643459231865177</v>
      </c>
      <c r="BI76" s="18" t="n">
        <f aca="false">Algae_yield_cost_factor/Q76</f>
        <v>0.599588449453234</v>
      </c>
      <c r="BJ76" s="18" t="n">
        <f aca="false">Algae_yield_cost_factor/R76</f>
        <v>0.55231953329554</v>
      </c>
      <c r="BK76" s="18" t="n">
        <f aca="false">Algae_yield_cost_factor/S76</f>
        <v>0.507228412857479</v>
      </c>
      <c r="BL76" s="18" t="n">
        <f aca="false">Algae_yield_cost_factor/T76</f>
        <v>0.468944031233507</v>
      </c>
      <c r="BM76" s="18" t="n">
        <f aca="false">Algae_yield_cost_factor/U76</f>
        <v>0.439524478650725</v>
      </c>
      <c r="BN76" s="18" t="n">
        <f aca="false">Algae_yield_cost_factor/V76</f>
        <v>0.418603270045677</v>
      </c>
      <c r="BO76" s="18" t="n">
        <f aca="false">Algae_yield_cost_factor/W76</f>
        <v>0.404532008367553</v>
      </c>
      <c r="BP76" s="18" t="n">
        <f aca="false">Algae_yield_cost_factor/X76</f>
        <v>0.395419200074669</v>
      </c>
      <c r="BQ76" s="18" t="n">
        <f aca="false">Algae_yield_cost_factor/Y76</f>
        <v>0.389661323908042</v>
      </c>
      <c r="BR76" s="18" t="n">
        <f aca="false">Algae_yield_cost_factor/Z76</f>
        <v>0.386079738839756</v>
      </c>
      <c r="BS76" s="18" t="n">
        <f aca="false">Algae_yield_cost_factor/AA76</f>
        <v>0.38387352454882</v>
      </c>
      <c r="BT76" s="18" t="n">
        <f aca="false">Algae_yield_cost_factor/AB76</f>
        <v>0.382522687051879</v>
      </c>
      <c r="BU76" s="18" t="n">
        <f aca="false">Algae_yield_cost_factor/AC76</f>
        <v>0.381698635676401</v>
      </c>
    </row>
    <row r="77" customFormat="false" ht="15" hidden="false" customHeight="false" outlineLevel="0" collapsed="false">
      <c r="A77" s="18" t="s">
        <v>743</v>
      </c>
      <c r="B77" s="18" t="s">
        <v>22</v>
      </c>
      <c r="C77" s="18" t="s">
        <v>687</v>
      </c>
      <c r="D77" s="18" t="s">
        <v>687</v>
      </c>
      <c r="E77" s="185" t="n">
        <v>1</v>
      </c>
      <c r="F77" s="18" t="n">
        <f aca="false">E77/$B$2*$F$3/1000</f>
        <v>0.00245</v>
      </c>
      <c r="G77" s="18" t="n">
        <f aca="false">LOOKUP(RIGHT(D77,5),Ref!$C$4:$C$21,Ref!$E$4:$E$21)*$G$3</f>
        <v>4.5</v>
      </c>
      <c r="H77" s="222" t="n">
        <f aca="false">$E77</f>
        <v>1</v>
      </c>
      <c r="I77" s="185" t="n">
        <f aca="false">$E77</f>
        <v>1</v>
      </c>
      <c r="J77" s="185" t="n">
        <f aca="false">$E77</f>
        <v>1</v>
      </c>
      <c r="K77" s="185" t="n">
        <f aca="false">$E77</f>
        <v>1</v>
      </c>
      <c r="L77" s="185" t="n">
        <f aca="false">$E77</f>
        <v>1</v>
      </c>
      <c r="M77" s="185" t="n">
        <f aca="false">M$3*$E77</f>
        <v>1.04742587317757</v>
      </c>
      <c r="N77" s="185" t="n">
        <f aca="false">N$3*$E77</f>
        <v>1.07585818002124</v>
      </c>
      <c r="O77" s="185" t="n">
        <f aca="false">O$3*$E77</f>
        <v>1.11920292202212</v>
      </c>
      <c r="P77" s="185" t="n">
        <f aca="false">P$3*$E77</f>
        <v>1.18242552380636</v>
      </c>
      <c r="Q77" s="185" t="n">
        <f aca="false">Q$3*$E77</f>
        <v>1.26894142137</v>
      </c>
      <c r="R77" s="185" t="n">
        <f aca="false">R$3*$E77</f>
        <v>1.37754066879815</v>
      </c>
      <c r="S77" s="185" t="n">
        <f aca="false">S$3*$E77</f>
        <v>1.5</v>
      </c>
      <c r="T77" s="185" t="n">
        <f aca="false">T$3*$E77</f>
        <v>1.62245933120185</v>
      </c>
      <c r="U77" s="185" t="n">
        <f aca="false">U$3*$E77</f>
        <v>1.73105857863</v>
      </c>
      <c r="V77" s="185" t="n">
        <f aca="false">V$3*$E77</f>
        <v>1.81757447619364</v>
      </c>
      <c r="W77" s="185" t="n">
        <f aca="false">W$3*$E77</f>
        <v>1.88079707797788</v>
      </c>
      <c r="X77" s="185" t="n">
        <f aca="false">X$3*$E77</f>
        <v>1.92414181997876</v>
      </c>
      <c r="Y77" s="185" t="n">
        <f aca="false">Y$3*$E77</f>
        <v>1.95257412682243</v>
      </c>
      <c r="Z77" s="185" t="n">
        <f aca="false">Z$3*$E77</f>
        <v>1.97068776924864</v>
      </c>
      <c r="AA77" s="185" t="n">
        <f aca="false">AA$3*$E77</f>
        <v>1.98201379003791</v>
      </c>
      <c r="AB77" s="185" t="n">
        <f aca="false">AB$3*$E77</f>
        <v>1.98901305736941</v>
      </c>
      <c r="AC77" s="185" t="n">
        <f aca="false">AC$3*$E77</f>
        <v>1.99330714907572</v>
      </c>
      <c r="AD77" s="219" t="n">
        <f aca="false">Algae_electricity_factor/H77</f>
        <v>0.0137435971035293</v>
      </c>
      <c r="AE77" s="220" t="n">
        <f aca="false">Algae_electricity_factor/I77</f>
        <v>0.0137435971035293</v>
      </c>
      <c r="AF77" s="220" t="n">
        <f aca="false">Algae_electricity_factor/J77</f>
        <v>0.0137435971035293</v>
      </c>
      <c r="AG77" s="220" t="n">
        <f aca="false">Algae_electricity_factor/K77</f>
        <v>0.0137435971035293</v>
      </c>
      <c r="AH77" s="220" t="n">
        <f aca="false">Algae_electricity_factor/L77</f>
        <v>0.0137435971035293</v>
      </c>
      <c r="AI77" s="220" t="n">
        <f aca="false">Algae_electricity_factor/M77</f>
        <v>0.013121307631857</v>
      </c>
      <c r="AJ77" s="220" t="n">
        <f aca="false">Algae_electricity_factor/N77</f>
        <v>0.0127745434842145</v>
      </c>
      <c r="AK77" s="220" t="n">
        <f aca="false">Algae_electricity_factor/O77</f>
        <v>0.0122798080965497</v>
      </c>
      <c r="AL77" s="220" t="n">
        <f aca="false">Algae_electricity_factor/P77</f>
        <v>0.0116232243188452</v>
      </c>
      <c r="AM77" s="220" t="n">
        <f aca="false">Algae_electricity_factor/Q77</f>
        <v>0.0108307577261456</v>
      </c>
      <c r="AN77" s="220" t="n">
        <f aca="false">Algae_electricity_factor/R77</f>
        <v>0.00997690842443153</v>
      </c>
      <c r="AO77" s="220" t="n">
        <f aca="false">Algae_electricity_factor/S77</f>
        <v>0.00916239806901951</v>
      </c>
      <c r="AP77" s="220" t="n">
        <f aca="false">Algae_electricity_factor/T77</f>
        <v>0.00847084228197482</v>
      </c>
      <c r="AQ77" s="220" t="n">
        <f aca="false">Algae_electricity_factor/U77</f>
        <v>0.00793941769111374</v>
      </c>
      <c r="AR77" s="220" t="n">
        <f aca="false">Algae_electricity_factor/V77</f>
        <v>0.00756150423740052</v>
      </c>
      <c r="AS77" s="220" t="n">
        <f aca="false">Algae_electricity_factor/W77</f>
        <v>0.00730732584841398</v>
      </c>
      <c r="AT77" s="220" t="n">
        <f aca="false">Algae_electricity_factor/X77</f>
        <v>0.00714271524106315</v>
      </c>
      <c r="AU77" s="220" t="n">
        <f aca="false">Algae_electricity_factor/Y77</f>
        <v>0.00703870696366095</v>
      </c>
      <c r="AV77" s="220" t="n">
        <f aca="false">Algae_electricity_factor/Z77</f>
        <v>0.00697401045360383</v>
      </c>
      <c r="AW77" s="220" t="n">
        <f aca="false">Algae_electricity_factor/AA77</f>
        <v>0.00693415816408946</v>
      </c>
      <c r="AX77" s="220" t="n">
        <f aca="false">Algae_electricity_factor/AB77</f>
        <v>0.00690975710421229</v>
      </c>
      <c r="AY77" s="220" t="n">
        <f aca="false">Algae_electricity_factor/AC77</f>
        <v>0.00689487172606695</v>
      </c>
      <c r="AZ77" s="211" t="n">
        <f aca="false">Algae_yield_cost_factor/H77</f>
        <v>0.760842619286218</v>
      </c>
      <c r="BA77" s="18" t="n">
        <f aca="false">Algae_yield_cost_factor/I77</f>
        <v>0.760842619286218</v>
      </c>
      <c r="BB77" s="18" t="n">
        <f aca="false">Algae_yield_cost_factor/J77</f>
        <v>0.760842619286218</v>
      </c>
      <c r="BC77" s="18" t="n">
        <f aca="false">Algae_yield_cost_factor/K77</f>
        <v>0.760842619286218</v>
      </c>
      <c r="BD77" s="18" t="n">
        <f aca="false">Algae_yield_cost_factor/L77</f>
        <v>0.760842619286218</v>
      </c>
      <c r="BE77" s="18" t="n">
        <f aca="false">Algae_yield_cost_factor/M77</f>
        <v>0.726392806183082</v>
      </c>
      <c r="BF77" s="18" t="n">
        <f aca="false">Algae_yield_cost_factor/N77</f>
        <v>0.707196016552288</v>
      </c>
      <c r="BG77" s="18" t="n">
        <f aca="false">Algae_yield_cost_factor/O77</f>
        <v>0.679807570473071</v>
      </c>
      <c r="BH77" s="18" t="n">
        <f aca="false">Algae_yield_cost_factor/P77</f>
        <v>0.643459231865177</v>
      </c>
      <c r="BI77" s="18" t="n">
        <f aca="false">Algae_yield_cost_factor/Q77</f>
        <v>0.599588449453234</v>
      </c>
      <c r="BJ77" s="18" t="n">
        <f aca="false">Algae_yield_cost_factor/R77</f>
        <v>0.55231953329554</v>
      </c>
      <c r="BK77" s="18" t="n">
        <f aca="false">Algae_yield_cost_factor/S77</f>
        <v>0.507228412857479</v>
      </c>
      <c r="BL77" s="18" t="n">
        <f aca="false">Algae_yield_cost_factor/T77</f>
        <v>0.468944031233507</v>
      </c>
      <c r="BM77" s="18" t="n">
        <f aca="false">Algae_yield_cost_factor/U77</f>
        <v>0.439524478650725</v>
      </c>
      <c r="BN77" s="18" t="n">
        <f aca="false">Algae_yield_cost_factor/V77</f>
        <v>0.418603270045677</v>
      </c>
      <c r="BO77" s="18" t="n">
        <f aca="false">Algae_yield_cost_factor/W77</f>
        <v>0.404532008367553</v>
      </c>
      <c r="BP77" s="18" t="n">
        <f aca="false">Algae_yield_cost_factor/X77</f>
        <v>0.395419200074669</v>
      </c>
      <c r="BQ77" s="18" t="n">
        <f aca="false">Algae_yield_cost_factor/Y77</f>
        <v>0.389661323908042</v>
      </c>
      <c r="BR77" s="18" t="n">
        <f aca="false">Algae_yield_cost_factor/Z77</f>
        <v>0.386079738839756</v>
      </c>
      <c r="BS77" s="18" t="n">
        <f aca="false">Algae_yield_cost_factor/AA77</f>
        <v>0.38387352454882</v>
      </c>
      <c r="BT77" s="18" t="n">
        <f aca="false">Algae_yield_cost_factor/AB77</f>
        <v>0.382522687051879</v>
      </c>
      <c r="BU77" s="18" t="n">
        <f aca="false">Algae_yield_cost_factor/AC77</f>
        <v>0.381698635676401</v>
      </c>
    </row>
    <row r="78" customFormat="false" ht="15" hidden="false" customHeight="false" outlineLevel="0" collapsed="false">
      <c r="A78" s="18" t="s">
        <v>701</v>
      </c>
      <c r="B78" s="18" t="s">
        <v>22</v>
      </c>
      <c r="C78" s="18" t="s">
        <v>693</v>
      </c>
      <c r="D78" s="18" t="s">
        <v>693</v>
      </c>
      <c r="E78" s="185" t="n">
        <v>8.3325</v>
      </c>
      <c r="F78" s="18" t="n">
        <f aca="false">E78/$B$2*$F$3/1000</f>
        <v>0.020414625</v>
      </c>
      <c r="G78" s="18" t="n">
        <f aca="false">LOOKUP(RIGHT(D78,5),Ref!$C$4:$C$21,Ref!$E$4:$E$21)*$G$3</f>
        <v>3</v>
      </c>
      <c r="H78" s="222" t="n">
        <f aca="false">$E78</f>
        <v>8.3325</v>
      </c>
      <c r="I78" s="185" t="n">
        <f aca="false">$E78</f>
        <v>8.3325</v>
      </c>
      <c r="J78" s="185" t="n">
        <f aca="false">$E78</f>
        <v>8.3325</v>
      </c>
      <c r="K78" s="185" t="n">
        <f aca="false">$E78</f>
        <v>8.3325</v>
      </c>
      <c r="L78" s="185" t="n">
        <f aca="false">$E78</f>
        <v>8.3325</v>
      </c>
      <c r="M78" s="185" t="n">
        <f aca="false">M$3*$E78</f>
        <v>8.72767608825208</v>
      </c>
      <c r="N78" s="185" t="n">
        <f aca="false">N$3*$E78</f>
        <v>8.96458828502701</v>
      </c>
      <c r="O78" s="185" t="n">
        <f aca="false">O$3*$E78</f>
        <v>9.3257583477493</v>
      </c>
      <c r="P78" s="185" t="n">
        <f aca="false">P$3*$E78</f>
        <v>9.85256067711646</v>
      </c>
      <c r="Q78" s="185" t="n">
        <f aca="false">Q$3*$E78</f>
        <v>10.5734543935655</v>
      </c>
      <c r="R78" s="185" t="n">
        <f aca="false">R$3*$E78</f>
        <v>11.4783576227605</v>
      </c>
      <c r="S78" s="185" t="n">
        <f aca="false">S$3*$E78</f>
        <v>12.49875</v>
      </c>
      <c r="T78" s="185" t="n">
        <f aca="false">T$3*$E78</f>
        <v>13.5191423772395</v>
      </c>
      <c r="U78" s="185" t="n">
        <f aca="false">U$3*$E78</f>
        <v>14.4240456064345</v>
      </c>
      <c r="V78" s="185" t="n">
        <f aca="false">V$3*$E78</f>
        <v>15.1449393228835</v>
      </c>
      <c r="W78" s="185" t="n">
        <f aca="false">W$3*$E78</f>
        <v>15.6717416522507</v>
      </c>
      <c r="X78" s="185" t="n">
        <f aca="false">X$3*$E78</f>
        <v>16.032911714973</v>
      </c>
      <c r="Y78" s="185" t="n">
        <f aca="false">Y$3*$E78</f>
        <v>16.2698239117479</v>
      </c>
      <c r="Z78" s="185" t="n">
        <f aca="false">Z$3*$E78</f>
        <v>16.4207558372643</v>
      </c>
      <c r="AA78" s="185" t="n">
        <f aca="false">AA$3*$E78</f>
        <v>16.5151299054909</v>
      </c>
      <c r="AB78" s="185" t="n">
        <f aca="false">AB$3*$E78</f>
        <v>16.5734513005306</v>
      </c>
      <c r="AC78" s="185" t="n">
        <f aca="false">AC$3*$E78</f>
        <v>16.6092318196734</v>
      </c>
      <c r="AD78" s="219" t="n">
        <f aca="false">Algae_electricity_factor/H78</f>
        <v>0.00164939659208272</v>
      </c>
      <c r="AE78" s="220" t="n">
        <f aca="false">Algae_electricity_factor/I78</f>
        <v>0.00164939659208272</v>
      </c>
      <c r="AF78" s="220" t="n">
        <f aca="false">Algae_electricity_factor/J78</f>
        <v>0.00164939659208272</v>
      </c>
      <c r="AG78" s="220" t="n">
        <f aca="false">Algae_electricity_factor/K78</f>
        <v>0.00164939659208272</v>
      </c>
      <c r="AH78" s="220" t="n">
        <f aca="false">Algae_electricity_factor/L78</f>
        <v>0.00164939659208272</v>
      </c>
      <c r="AI78" s="220" t="n">
        <f aca="false">Algae_electricity_factor/M78</f>
        <v>0.00157471438726156</v>
      </c>
      <c r="AJ78" s="220" t="n">
        <f aca="false">Algae_electricity_factor/N78</f>
        <v>0.00153309852795854</v>
      </c>
      <c r="AK78" s="220" t="n">
        <f aca="false">Algae_electricity_factor/O78</f>
        <v>0.00147372434402036</v>
      </c>
      <c r="AL78" s="220" t="n">
        <f aca="false">Algae_electricity_factor/P78</f>
        <v>0.00139492641090251</v>
      </c>
      <c r="AM78" s="220" t="n">
        <f aca="false">Algae_electricity_factor/Q78</f>
        <v>0.0012998209092284</v>
      </c>
      <c r="AN78" s="220" t="n">
        <f aca="false">Algae_electricity_factor/R78</f>
        <v>0.00119734874580636</v>
      </c>
      <c r="AO78" s="220" t="n">
        <f aca="false">Algae_electricity_factor/S78</f>
        <v>0.00109959772805515</v>
      </c>
      <c r="AP78" s="220" t="n">
        <f aca="false">Algae_electricity_factor/T78</f>
        <v>0.00101660273411039</v>
      </c>
      <c r="AQ78" s="220" t="n">
        <f aca="false">Algae_electricity_factor/U78</f>
        <v>0.000952825405474196</v>
      </c>
      <c r="AR78" s="220" t="n">
        <f aca="false">Algae_electricity_factor/V78</f>
        <v>0.000907471255613623</v>
      </c>
      <c r="AS78" s="220" t="n">
        <f aca="false">Algae_electricity_factor/W78</f>
        <v>0.000876966798489526</v>
      </c>
      <c r="AT78" s="220" t="n">
        <f aca="false">Algae_electricity_factor/X78</f>
        <v>0.000857211550082587</v>
      </c>
      <c r="AU78" s="220" t="n">
        <f aca="false">Algae_electricity_factor/Y78</f>
        <v>0.000844729308570171</v>
      </c>
      <c r="AV78" s="220" t="n">
        <f aca="false">Algae_electricity_factor/Z78</f>
        <v>0.000836964950927553</v>
      </c>
      <c r="AW78" s="220" t="n">
        <f aca="false">Algae_electricity_factor/AA78</f>
        <v>0.000832182197910527</v>
      </c>
      <c r="AX78" s="220" t="n">
        <f aca="false">Algae_electricity_factor/AB78</f>
        <v>0.000829253777883263</v>
      </c>
      <c r="AY78" s="220" t="n">
        <f aca="false">Algae_electricity_factor/AC78</f>
        <v>0.00082746735386342</v>
      </c>
      <c r="AZ78" s="211" t="n">
        <f aca="false">Algae_yield_cost_factor/H78</f>
        <v>0.09131024533888</v>
      </c>
      <c r="BA78" s="18" t="n">
        <f aca="false">Algae_yield_cost_factor/I78</f>
        <v>0.09131024533888</v>
      </c>
      <c r="BB78" s="18" t="n">
        <f aca="false">Algae_yield_cost_factor/J78</f>
        <v>0.09131024533888</v>
      </c>
      <c r="BC78" s="18" t="n">
        <f aca="false">Algae_yield_cost_factor/K78</f>
        <v>0.09131024533888</v>
      </c>
      <c r="BD78" s="18" t="n">
        <f aca="false">Algae_yield_cost_factor/L78</f>
        <v>0.09131024533888</v>
      </c>
      <c r="BE78" s="18" t="n">
        <f aca="false">Algae_yield_cost_factor/M78</f>
        <v>0.0871758543274026</v>
      </c>
      <c r="BF78" s="18" t="n">
        <f aca="false">Algae_yield_cost_factor/N78</f>
        <v>0.0848720091871933</v>
      </c>
      <c r="BG78" s="18" t="n">
        <f aca="false">Algae_yield_cost_factor/O78</f>
        <v>0.0815850669634649</v>
      </c>
      <c r="BH78" s="18" t="n">
        <f aca="false">Algae_yield_cost_factor/P78</f>
        <v>0.0772228301068319</v>
      </c>
      <c r="BI78" s="18" t="n">
        <f aca="false">Algae_yield_cost_factor/Q78</f>
        <v>0.0719578097153596</v>
      </c>
      <c r="BJ78" s="18" t="n">
        <f aca="false">Algae_yield_cost_factor/R78</f>
        <v>0.0662849724927141</v>
      </c>
      <c r="BK78" s="18" t="n">
        <f aca="false">Algae_yield_cost_factor/S78</f>
        <v>0.0608734968925867</v>
      </c>
      <c r="BL78" s="18" t="n">
        <f aca="false">Algae_yield_cost_factor/T78</f>
        <v>0.0562789116391848</v>
      </c>
      <c r="BM78" s="18" t="n">
        <f aca="false">Algae_yield_cost_factor/U78</f>
        <v>0.0527482122593129</v>
      </c>
      <c r="BN78" s="18" t="n">
        <f aca="false">Algae_yield_cost_factor/V78</f>
        <v>0.050237416147096</v>
      </c>
      <c r="BO78" s="18" t="n">
        <f aca="false">Algae_yield_cost_factor/W78</f>
        <v>0.0485486958736937</v>
      </c>
      <c r="BP78" s="18" t="n">
        <f aca="false">Algae_yield_cost_factor/X78</f>
        <v>0.0474550495139117</v>
      </c>
      <c r="BQ78" s="18" t="n">
        <f aca="false">Algae_yield_cost_factor/Y78</f>
        <v>0.0467640352724923</v>
      </c>
      <c r="BR78" s="18" t="n">
        <f aca="false">Algae_yield_cost_factor/Z78</f>
        <v>0.0463342020809788</v>
      </c>
      <c r="BS78" s="18" t="n">
        <f aca="false">Algae_yield_cost_factor/AA78</f>
        <v>0.0460694298888474</v>
      </c>
      <c r="BT78" s="18" t="n">
        <f aca="false">Algae_yield_cost_factor/AB78</f>
        <v>0.0459073131775432</v>
      </c>
      <c r="BU78" s="18" t="n">
        <f aca="false">Algae_yield_cost_factor/AC78</f>
        <v>0.0458084171228805</v>
      </c>
    </row>
    <row r="79" customFormat="false" ht="15" hidden="false" customHeight="false" outlineLevel="0" collapsed="false">
      <c r="A79" s="18" t="s">
        <v>701</v>
      </c>
      <c r="B79" s="18" t="s">
        <v>22</v>
      </c>
      <c r="C79" s="18" t="s">
        <v>694</v>
      </c>
      <c r="D79" s="18" t="s">
        <v>694</v>
      </c>
      <c r="E79" s="185" t="n">
        <v>8.95125</v>
      </c>
      <c r="F79" s="18" t="n">
        <f aca="false">E79/$B$2*$F$3/1000</f>
        <v>0.0219305625</v>
      </c>
      <c r="G79" s="18" t="n">
        <f aca="false">LOOKUP(RIGHT(D79,5),Ref!$C$4:$C$21,Ref!$E$4:$E$21)*$G$3</f>
        <v>3</v>
      </c>
      <c r="H79" s="222" t="n">
        <f aca="false">$E79</f>
        <v>8.95125</v>
      </c>
      <c r="I79" s="185" t="n">
        <f aca="false">$E79</f>
        <v>8.95125</v>
      </c>
      <c r="J79" s="185" t="n">
        <f aca="false">$E79</f>
        <v>8.95125</v>
      </c>
      <c r="K79" s="185" t="n">
        <f aca="false">$E79</f>
        <v>8.95125</v>
      </c>
      <c r="L79" s="185" t="n">
        <f aca="false">$E79</f>
        <v>8.95125</v>
      </c>
      <c r="M79" s="185" t="n">
        <f aca="false">M$3*$E79</f>
        <v>9.37577084728069</v>
      </c>
      <c r="N79" s="185" t="n">
        <f aca="false">N$3*$E79</f>
        <v>9.63027553391516</v>
      </c>
      <c r="O79" s="185" t="n">
        <f aca="false">O$3*$E79</f>
        <v>10.0182651557505</v>
      </c>
      <c r="P79" s="185" t="n">
        <f aca="false">P$3*$E79</f>
        <v>10.5841864699716</v>
      </c>
      <c r="Q79" s="185" t="n">
        <f aca="false">Q$3*$E79</f>
        <v>11.3586118980382</v>
      </c>
      <c r="R79" s="185" t="n">
        <f aca="false">R$3*$E79</f>
        <v>12.3307109115794</v>
      </c>
      <c r="S79" s="185" t="n">
        <f aca="false">S$3*$E79</f>
        <v>13.426875</v>
      </c>
      <c r="T79" s="185" t="n">
        <f aca="false">T$3*$E79</f>
        <v>14.5230390884206</v>
      </c>
      <c r="U79" s="185" t="n">
        <f aca="false">U$3*$E79</f>
        <v>15.4951381019618</v>
      </c>
      <c r="V79" s="185" t="n">
        <f aca="false">V$3*$E79</f>
        <v>16.2695635300284</v>
      </c>
      <c r="W79" s="185" t="n">
        <f aca="false">W$3*$E79</f>
        <v>16.8354848442495</v>
      </c>
      <c r="X79" s="185" t="n">
        <f aca="false">X$3*$E79</f>
        <v>17.2234744660848</v>
      </c>
      <c r="Y79" s="185" t="n">
        <f aca="false">Y$3*$E79</f>
        <v>17.4779791527193</v>
      </c>
      <c r="Z79" s="185" t="n">
        <f aca="false">Z$3*$E79</f>
        <v>17.6401188944869</v>
      </c>
      <c r="AA79" s="185" t="n">
        <f aca="false">AA$3*$E79</f>
        <v>17.7415009380768</v>
      </c>
      <c r="AB79" s="185" t="n">
        <f aca="false">AB$3*$E79</f>
        <v>17.8041531297779</v>
      </c>
      <c r="AC79" s="185" t="n">
        <f aca="false">AC$3*$E79</f>
        <v>17.842590618164</v>
      </c>
      <c r="AD79" s="219" t="n">
        <f aca="false">Algae_electricity_factor/H79</f>
        <v>0.00153538300276825</v>
      </c>
      <c r="AE79" s="220" t="n">
        <f aca="false">Algae_electricity_factor/I79</f>
        <v>0.00153538300276825</v>
      </c>
      <c r="AF79" s="220" t="n">
        <f aca="false">Algae_electricity_factor/J79</f>
        <v>0.00153538300276825</v>
      </c>
      <c r="AG79" s="220" t="n">
        <f aca="false">Algae_electricity_factor/K79</f>
        <v>0.00153538300276825</v>
      </c>
      <c r="AH79" s="220" t="n">
        <f aca="false">Algae_electricity_factor/L79</f>
        <v>0.00153538300276825</v>
      </c>
      <c r="AI79" s="220" t="n">
        <f aca="false">Algae_electricity_factor/M79</f>
        <v>0.00146586316233565</v>
      </c>
      <c r="AJ79" s="220" t="n">
        <f aca="false">Algae_electricity_factor/N79</f>
        <v>0.00142712397533468</v>
      </c>
      <c r="AK79" s="220" t="n">
        <f aca="false">Algae_electricity_factor/O79</f>
        <v>0.00137185399765951</v>
      </c>
      <c r="AL79" s="220" t="n">
        <f aca="false">Algae_electricity_factor/P79</f>
        <v>0.00129850292627791</v>
      </c>
      <c r="AM79" s="220" t="n">
        <f aca="false">Algae_electricity_factor/Q79</f>
        <v>0.00120997153762275</v>
      </c>
      <c r="AN79" s="220" t="n">
        <f aca="false">Algae_electricity_factor/R79</f>
        <v>0.00111458270346952</v>
      </c>
      <c r="AO79" s="220" t="n">
        <f aca="false">Algae_electricity_factor/S79</f>
        <v>0.00102358866851216</v>
      </c>
      <c r="AP79" s="220" t="n">
        <f aca="false">Algae_electricity_factor/T79</f>
        <v>0.000946330655715662</v>
      </c>
      <c r="AQ79" s="220" t="n">
        <f aca="false">Algae_electricity_factor/U79</f>
        <v>0.000886961898183353</v>
      </c>
      <c r="AR79" s="220" t="n">
        <f aca="false">Algae_electricity_factor/V79</f>
        <v>0.00084474282780623</v>
      </c>
      <c r="AS79" s="220" t="n">
        <f aca="false">Algae_electricity_factor/W79</f>
        <v>0.000816346973709144</v>
      </c>
      <c r="AT79" s="220" t="n">
        <f aca="false">Algae_electricity_factor/X79</f>
        <v>0.000797957295468583</v>
      </c>
      <c r="AU79" s="220" t="n">
        <f aca="false">Algae_electricity_factor/Y79</f>
        <v>0.000786337881710482</v>
      </c>
      <c r="AV79" s="220" t="n">
        <f aca="false">Algae_electricity_factor/Z79</f>
        <v>0.000779110230817353</v>
      </c>
      <c r="AW79" s="220" t="n">
        <f aca="false">Algae_electricity_factor/AA79</f>
        <v>0.000774658082847587</v>
      </c>
      <c r="AX79" s="220" t="n">
        <f aca="false">Algae_electricity_factor/AB79</f>
        <v>0.00077193208816783</v>
      </c>
      <c r="AY79" s="220" t="n">
        <f aca="false">Algae_electricity_factor/AC79</f>
        <v>0.000770269149679312</v>
      </c>
      <c r="AZ79" s="211" t="n">
        <f aca="false">Algae_yield_cost_factor/H79</f>
        <v>0.0849984772278975</v>
      </c>
      <c r="BA79" s="18" t="n">
        <f aca="false">Algae_yield_cost_factor/I79</f>
        <v>0.0849984772278975</v>
      </c>
      <c r="BB79" s="18" t="n">
        <f aca="false">Algae_yield_cost_factor/J79</f>
        <v>0.0849984772278975</v>
      </c>
      <c r="BC79" s="18" t="n">
        <f aca="false">Algae_yield_cost_factor/K79</f>
        <v>0.0849984772278975</v>
      </c>
      <c r="BD79" s="18" t="n">
        <f aca="false">Algae_yield_cost_factor/L79</f>
        <v>0.0849984772278975</v>
      </c>
      <c r="BE79" s="18" t="n">
        <f aca="false">Algae_yield_cost_factor/M79</f>
        <v>0.0811498736135268</v>
      </c>
      <c r="BF79" s="18" t="n">
        <f aca="false">Algae_yield_cost_factor/N79</f>
        <v>0.0790052804415348</v>
      </c>
      <c r="BG79" s="18" t="n">
        <f aca="false">Algae_yield_cost_factor/O79</f>
        <v>0.0759455462056217</v>
      </c>
      <c r="BH79" s="18" t="n">
        <f aca="false">Algae_yield_cost_factor/P79</f>
        <v>0.0718848464588943</v>
      </c>
      <c r="BI79" s="18" t="n">
        <f aca="false">Algae_yield_cost_factor/Q79</f>
        <v>0.0669837675691366</v>
      </c>
      <c r="BJ79" s="18" t="n">
        <f aca="false">Algae_yield_cost_factor/R79</f>
        <v>0.061703061951743</v>
      </c>
      <c r="BK79" s="18" t="n">
        <f aca="false">Algae_yield_cost_factor/S79</f>
        <v>0.056665651485265</v>
      </c>
      <c r="BL79" s="18" t="n">
        <f aca="false">Algae_yield_cost_factor/T79</f>
        <v>0.052388664290854</v>
      </c>
      <c r="BM79" s="18" t="n">
        <f aca="false">Algae_yield_cost_factor/U79</f>
        <v>0.0491020224718028</v>
      </c>
      <c r="BN79" s="18" t="n">
        <f aca="false">Algae_yield_cost_factor/V79</f>
        <v>0.0467647836945317</v>
      </c>
      <c r="BO79" s="18" t="n">
        <f aca="false">Algae_yield_cost_factor/W79</f>
        <v>0.0451927952372633</v>
      </c>
      <c r="BP79" s="18" t="n">
        <f aca="false">Algae_yield_cost_factor/X79</f>
        <v>0.0441747465521206</v>
      </c>
      <c r="BQ79" s="18" t="n">
        <f aca="false">Algae_yield_cost_factor/Y79</f>
        <v>0.0435314982720896</v>
      </c>
      <c r="BR79" s="18" t="n">
        <f aca="false">Algae_yield_cost_factor/Z79</f>
        <v>0.0431313770523397</v>
      </c>
      <c r="BS79" s="18" t="n">
        <f aca="false">Algae_yield_cost_factor/AA79</f>
        <v>0.0428849070854708</v>
      </c>
      <c r="BT79" s="18" t="n">
        <f aca="false">Algae_yield_cost_factor/AB79</f>
        <v>0.0427339965984503</v>
      </c>
      <c r="BU79" s="18" t="n">
        <f aca="false">Algae_yield_cost_factor/AC79</f>
        <v>0.0426419366765984</v>
      </c>
    </row>
    <row r="80" customFormat="false" ht="15" hidden="false" customHeight="false" outlineLevel="0" collapsed="false">
      <c r="A80" s="18" t="s">
        <v>701</v>
      </c>
      <c r="B80" s="18" t="s">
        <v>22</v>
      </c>
      <c r="C80" s="18" t="s">
        <v>682</v>
      </c>
      <c r="D80" s="18" t="s">
        <v>682</v>
      </c>
      <c r="E80" s="185" t="n">
        <v>8.95125</v>
      </c>
      <c r="F80" s="18" t="n">
        <f aca="false">E80/$B$2*$F$3/1000</f>
        <v>0.0219305625</v>
      </c>
      <c r="G80" s="18" t="n">
        <f aca="false">LOOKUP(RIGHT(D80,5),Ref!$C$4:$C$21,Ref!$E$4:$E$21)*$G$3</f>
        <v>3</v>
      </c>
      <c r="H80" s="222" t="n">
        <f aca="false">$E80</f>
        <v>8.95125</v>
      </c>
      <c r="I80" s="185" t="n">
        <f aca="false">$E80</f>
        <v>8.95125</v>
      </c>
      <c r="J80" s="185" t="n">
        <f aca="false">$E80</f>
        <v>8.95125</v>
      </c>
      <c r="K80" s="185" t="n">
        <f aca="false">$E80</f>
        <v>8.95125</v>
      </c>
      <c r="L80" s="185" t="n">
        <f aca="false">$E80</f>
        <v>8.95125</v>
      </c>
      <c r="M80" s="185" t="n">
        <f aca="false">M$3*$E80</f>
        <v>9.37577084728069</v>
      </c>
      <c r="N80" s="185" t="n">
        <f aca="false">N$3*$E80</f>
        <v>9.63027553391516</v>
      </c>
      <c r="O80" s="185" t="n">
        <f aca="false">O$3*$E80</f>
        <v>10.0182651557505</v>
      </c>
      <c r="P80" s="185" t="n">
        <f aca="false">P$3*$E80</f>
        <v>10.5841864699716</v>
      </c>
      <c r="Q80" s="185" t="n">
        <f aca="false">Q$3*$E80</f>
        <v>11.3586118980382</v>
      </c>
      <c r="R80" s="185" t="n">
        <f aca="false">R$3*$E80</f>
        <v>12.3307109115794</v>
      </c>
      <c r="S80" s="185" t="n">
        <f aca="false">S$3*$E80</f>
        <v>13.426875</v>
      </c>
      <c r="T80" s="185" t="n">
        <f aca="false">T$3*$E80</f>
        <v>14.5230390884206</v>
      </c>
      <c r="U80" s="185" t="n">
        <f aca="false">U$3*$E80</f>
        <v>15.4951381019618</v>
      </c>
      <c r="V80" s="185" t="n">
        <f aca="false">V$3*$E80</f>
        <v>16.2695635300284</v>
      </c>
      <c r="W80" s="185" t="n">
        <f aca="false">W$3*$E80</f>
        <v>16.8354848442495</v>
      </c>
      <c r="X80" s="185" t="n">
        <f aca="false">X$3*$E80</f>
        <v>17.2234744660848</v>
      </c>
      <c r="Y80" s="185" t="n">
        <f aca="false">Y$3*$E80</f>
        <v>17.4779791527193</v>
      </c>
      <c r="Z80" s="185" t="n">
        <f aca="false">Z$3*$E80</f>
        <v>17.6401188944869</v>
      </c>
      <c r="AA80" s="185" t="n">
        <f aca="false">AA$3*$E80</f>
        <v>17.7415009380768</v>
      </c>
      <c r="AB80" s="185" t="n">
        <f aca="false">AB$3*$E80</f>
        <v>17.8041531297779</v>
      </c>
      <c r="AC80" s="185" t="n">
        <f aca="false">AC$3*$E80</f>
        <v>17.842590618164</v>
      </c>
      <c r="AD80" s="219" t="n">
        <f aca="false">Algae_electricity_factor/H80</f>
        <v>0.00153538300276825</v>
      </c>
      <c r="AE80" s="220" t="n">
        <f aca="false">Algae_electricity_factor/I80</f>
        <v>0.00153538300276825</v>
      </c>
      <c r="AF80" s="220" t="n">
        <f aca="false">Algae_electricity_factor/J80</f>
        <v>0.00153538300276825</v>
      </c>
      <c r="AG80" s="220" t="n">
        <f aca="false">Algae_electricity_factor/K80</f>
        <v>0.00153538300276825</v>
      </c>
      <c r="AH80" s="220" t="n">
        <f aca="false">Algae_electricity_factor/L80</f>
        <v>0.00153538300276825</v>
      </c>
      <c r="AI80" s="220" t="n">
        <f aca="false">Algae_electricity_factor/M80</f>
        <v>0.00146586316233565</v>
      </c>
      <c r="AJ80" s="220" t="n">
        <f aca="false">Algae_electricity_factor/N80</f>
        <v>0.00142712397533468</v>
      </c>
      <c r="AK80" s="220" t="n">
        <f aca="false">Algae_electricity_factor/O80</f>
        <v>0.00137185399765951</v>
      </c>
      <c r="AL80" s="220" t="n">
        <f aca="false">Algae_electricity_factor/P80</f>
        <v>0.00129850292627791</v>
      </c>
      <c r="AM80" s="220" t="n">
        <f aca="false">Algae_electricity_factor/Q80</f>
        <v>0.00120997153762275</v>
      </c>
      <c r="AN80" s="220" t="n">
        <f aca="false">Algae_electricity_factor/R80</f>
        <v>0.00111458270346952</v>
      </c>
      <c r="AO80" s="220" t="n">
        <f aca="false">Algae_electricity_factor/S80</f>
        <v>0.00102358866851216</v>
      </c>
      <c r="AP80" s="220" t="n">
        <f aca="false">Algae_electricity_factor/T80</f>
        <v>0.000946330655715662</v>
      </c>
      <c r="AQ80" s="220" t="n">
        <f aca="false">Algae_electricity_factor/U80</f>
        <v>0.000886961898183353</v>
      </c>
      <c r="AR80" s="220" t="n">
        <f aca="false">Algae_electricity_factor/V80</f>
        <v>0.00084474282780623</v>
      </c>
      <c r="AS80" s="220" t="n">
        <f aca="false">Algae_electricity_factor/W80</f>
        <v>0.000816346973709144</v>
      </c>
      <c r="AT80" s="220" t="n">
        <f aca="false">Algae_electricity_factor/X80</f>
        <v>0.000797957295468583</v>
      </c>
      <c r="AU80" s="220" t="n">
        <f aca="false">Algae_electricity_factor/Y80</f>
        <v>0.000786337881710482</v>
      </c>
      <c r="AV80" s="220" t="n">
        <f aca="false">Algae_electricity_factor/Z80</f>
        <v>0.000779110230817353</v>
      </c>
      <c r="AW80" s="220" t="n">
        <f aca="false">Algae_electricity_factor/AA80</f>
        <v>0.000774658082847587</v>
      </c>
      <c r="AX80" s="220" t="n">
        <f aca="false">Algae_electricity_factor/AB80</f>
        <v>0.00077193208816783</v>
      </c>
      <c r="AY80" s="220" t="n">
        <f aca="false">Algae_electricity_factor/AC80</f>
        <v>0.000770269149679312</v>
      </c>
      <c r="AZ80" s="211" t="n">
        <f aca="false">Algae_yield_cost_factor/H80</f>
        <v>0.0849984772278975</v>
      </c>
      <c r="BA80" s="18" t="n">
        <f aca="false">Algae_yield_cost_factor/I80</f>
        <v>0.0849984772278975</v>
      </c>
      <c r="BB80" s="18" t="n">
        <f aca="false">Algae_yield_cost_factor/J80</f>
        <v>0.0849984772278975</v>
      </c>
      <c r="BC80" s="18" t="n">
        <f aca="false">Algae_yield_cost_factor/K80</f>
        <v>0.0849984772278975</v>
      </c>
      <c r="BD80" s="18" t="n">
        <f aca="false">Algae_yield_cost_factor/L80</f>
        <v>0.0849984772278975</v>
      </c>
      <c r="BE80" s="18" t="n">
        <f aca="false">Algae_yield_cost_factor/M80</f>
        <v>0.0811498736135268</v>
      </c>
      <c r="BF80" s="18" t="n">
        <f aca="false">Algae_yield_cost_factor/N80</f>
        <v>0.0790052804415348</v>
      </c>
      <c r="BG80" s="18" t="n">
        <f aca="false">Algae_yield_cost_factor/O80</f>
        <v>0.0759455462056217</v>
      </c>
      <c r="BH80" s="18" t="n">
        <f aca="false">Algae_yield_cost_factor/P80</f>
        <v>0.0718848464588943</v>
      </c>
      <c r="BI80" s="18" t="n">
        <f aca="false">Algae_yield_cost_factor/Q80</f>
        <v>0.0669837675691366</v>
      </c>
      <c r="BJ80" s="18" t="n">
        <f aca="false">Algae_yield_cost_factor/R80</f>
        <v>0.061703061951743</v>
      </c>
      <c r="BK80" s="18" t="n">
        <f aca="false">Algae_yield_cost_factor/S80</f>
        <v>0.056665651485265</v>
      </c>
      <c r="BL80" s="18" t="n">
        <f aca="false">Algae_yield_cost_factor/T80</f>
        <v>0.052388664290854</v>
      </c>
      <c r="BM80" s="18" t="n">
        <f aca="false">Algae_yield_cost_factor/U80</f>
        <v>0.0491020224718028</v>
      </c>
      <c r="BN80" s="18" t="n">
        <f aca="false">Algae_yield_cost_factor/V80</f>
        <v>0.0467647836945317</v>
      </c>
      <c r="BO80" s="18" t="n">
        <f aca="false">Algae_yield_cost_factor/W80</f>
        <v>0.0451927952372633</v>
      </c>
      <c r="BP80" s="18" t="n">
        <f aca="false">Algae_yield_cost_factor/X80</f>
        <v>0.0441747465521206</v>
      </c>
      <c r="BQ80" s="18" t="n">
        <f aca="false">Algae_yield_cost_factor/Y80</f>
        <v>0.0435314982720896</v>
      </c>
      <c r="BR80" s="18" t="n">
        <f aca="false">Algae_yield_cost_factor/Z80</f>
        <v>0.0431313770523397</v>
      </c>
      <c r="BS80" s="18" t="n">
        <f aca="false">Algae_yield_cost_factor/AA80</f>
        <v>0.0428849070854708</v>
      </c>
      <c r="BT80" s="18" t="n">
        <f aca="false">Algae_yield_cost_factor/AB80</f>
        <v>0.0427339965984503</v>
      </c>
      <c r="BU80" s="18" t="n">
        <f aca="false">Algae_yield_cost_factor/AC80</f>
        <v>0.0426419366765984</v>
      </c>
    </row>
    <row r="81" customFormat="false" ht="15" hidden="false" customHeight="false" outlineLevel="0" collapsed="false">
      <c r="A81" s="18" t="s">
        <v>701</v>
      </c>
      <c r="B81" s="18" t="s">
        <v>22</v>
      </c>
      <c r="C81" s="18" t="s">
        <v>688</v>
      </c>
      <c r="D81" s="18" t="s">
        <v>688</v>
      </c>
      <c r="E81" s="185" t="n">
        <v>7.91175</v>
      </c>
      <c r="F81" s="18" t="n">
        <f aca="false">E81/$B$2*$F$3/1000</f>
        <v>0.0193837875</v>
      </c>
      <c r="G81" s="18" t="n">
        <f aca="false">LOOKUP(RIGHT(D81,5),Ref!$C$4:$C$21,Ref!$E$4:$E$21)*$G$3</f>
        <v>4.5</v>
      </c>
      <c r="H81" s="222" t="n">
        <f aca="false">$E81</f>
        <v>7.91175</v>
      </c>
      <c r="I81" s="185" t="n">
        <f aca="false">$E81</f>
        <v>7.91175</v>
      </c>
      <c r="J81" s="185" t="n">
        <f aca="false">$E81</f>
        <v>7.91175</v>
      </c>
      <c r="K81" s="185" t="n">
        <f aca="false">$E81</f>
        <v>7.91175</v>
      </c>
      <c r="L81" s="185" t="n">
        <f aca="false">$E81</f>
        <v>7.91175</v>
      </c>
      <c r="M81" s="185" t="n">
        <f aca="false">M$3*$E81</f>
        <v>8.28697165211261</v>
      </c>
      <c r="N81" s="185" t="n">
        <f aca="false">N$3*$E81</f>
        <v>8.51192095578307</v>
      </c>
      <c r="O81" s="185" t="n">
        <f aca="false">O$3*$E81</f>
        <v>8.85485371830849</v>
      </c>
      <c r="P81" s="185" t="n">
        <f aca="false">P$3*$E81</f>
        <v>9.35505513797494</v>
      </c>
      <c r="Q81" s="185" t="n">
        <f aca="false">Q$3*$E81</f>
        <v>10.0395472905241</v>
      </c>
      <c r="R81" s="185" t="n">
        <f aca="false">R$3*$E81</f>
        <v>10.8987573863637</v>
      </c>
      <c r="S81" s="185" t="n">
        <f aca="false">S$3*$E81</f>
        <v>11.867625</v>
      </c>
      <c r="T81" s="185" t="n">
        <f aca="false">T$3*$E81</f>
        <v>12.8364926136363</v>
      </c>
      <c r="U81" s="185" t="n">
        <f aca="false">U$3*$E81</f>
        <v>13.6957027094759</v>
      </c>
      <c r="V81" s="185" t="n">
        <f aca="false">V$3*$E81</f>
        <v>14.3801948620251</v>
      </c>
      <c r="W81" s="185" t="n">
        <f aca="false">W$3*$E81</f>
        <v>14.8803962816915</v>
      </c>
      <c r="X81" s="185" t="n">
        <f aca="false">X$3*$E81</f>
        <v>15.2233290442169</v>
      </c>
      <c r="Y81" s="185" t="n">
        <f aca="false">Y$3*$E81</f>
        <v>15.4482783478874</v>
      </c>
      <c r="Z81" s="185" t="n">
        <f aca="false">Z$3*$E81</f>
        <v>15.591588958353</v>
      </c>
      <c r="AA81" s="185" t="n">
        <f aca="false">AA$3*$E81</f>
        <v>15.6811976033324</v>
      </c>
      <c r="AB81" s="185" t="n">
        <f aca="false">AB$3*$E81</f>
        <v>15.7365740566424</v>
      </c>
      <c r="AC81" s="185" t="n">
        <f aca="false">AC$3*$E81</f>
        <v>15.7705478366998</v>
      </c>
      <c r="AD81" s="219" t="n">
        <f aca="false">Algae_electricity_factor/H81</f>
        <v>0.00173711215641663</v>
      </c>
      <c r="AE81" s="220" t="n">
        <f aca="false">Algae_electricity_factor/I81</f>
        <v>0.00173711215641663</v>
      </c>
      <c r="AF81" s="220" t="n">
        <f aca="false">Algae_electricity_factor/J81</f>
        <v>0.00173711215641663</v>
      </c>
      <c r="AG81" s="220" t="n">
        <f aca="false">Algae_electricity_factor/K81</f>
        <v>0.00173711215641663</v>
      </c>
      <c r="AH81" s="220" t="n">
        <f aca="false">Algae_electricity_factor/L81</f>
        <v>0.00173711215641663</v>
      </c>
      <c r="AI81" s="220" t="n">
        <f aca="false">Algae_electricity_factor/M81</f>
        <v>0.00165845832235055</v>
      </c>
      <c r="AJ81" s="220" t="n">
        <f aca="false">Algae_electricity_factor/N81</f>
        <v>0.00161462931515967</v>
      </c>
      <c r="AK81" s="220" t="n">
        <f aca="false">Algae_electricity_factor/O81</f>
        <v>0.00155209758859288</v>
      </c>
      <c r="AL81" s="220" t="n">
        <f aca="false">Algae_electricity_factor/P81</f>
        <v>0.00146910915016844</v>
      </c>
      <c r="AM81" s="220" t="n">
        <f aca="false">Algae_electricity_factor/Q81</f>
        <v>0.00136894590023011</v>
      </c>
      <c r="AN81" s="220" t="n">
        <f aca="false">Algae_electricity_factor/R81</f>
        <v>0.00126102422655311</v>
      </c>
      <c r="AO81" s="220" t="n">
        <f aca="false">Algae_electricity_factor/S81</f>
        <v>0.00115807477094442</v>
      </c>
      <c r="AP81" s="220" t="n">
        <f aca="false">Algae_electricity_factor/T81</f>
        <v>0.00107066607033524</v>
      </c>
      <c r="AQ81" s="220" t="n">
        <f aca="false">Algae_electricity_factor/U81</f>
        <v>0.00100349703809065</v>
      </c>
      <c r="AR81" s="220" t="n">
        <f aca="false">Algae_electricity_factor/V81</f>
        <v>0.000955730936569092</v>
      </c>
      <c r="AS81" s="220" t="n">
        <f aca="false">Algae_electricity_factor/W81</f>
        <v>0.000923604240327864</v>
      </c>
      <c r="AT81" s="220" t="n">
        <f aca="false">Algae_electricity_factor/X81</f>
        <v>0.000902798399982703</v>
      </c>
      <c r="AU81" s="220" t="n">
        <f aca="false">Algae_electricity_factor/Y81</f>
        <v>0.000889652347920618</v>
      </c>
      <c r="AV81" s="220" t="n">
        <f aca="false">Algae_electricity_factor/Z81</f>
        <v>0.000881475078661969</v>
      </c>
      <c r="AW81" s="220" t="n">
        <f aca="false">Algae_electricity_factor/AA81</f>
        <v>0.00087643797694435</v>
      </c>
      <c r="AX81" s="220" t="n">
        <f aca="false">Algae_electricity_factor/AB81</f>
        <v>0.000873353822379661</v>
      </c>
      <c r="AY81" s="220" t="n">
        <f aca="false">Algae_electricity_factor/AC81</f>
        <v>0.00087147239562258</v>
      </c>
      <c r="AZ81" s="211" t="n">
        <f aca="false">Algae_yield_cost_factor/H81</f>
        <v>0.0961661603673293</v>
      </c>
      <c r="BA81" s="18" t="n">
        <f aca="false">Algae_yield_cost_factor/I81</f>
        <v>0.0961661603673293</v>
      </c>
      <c r="BB81" s="18" t="n">
        <f aca="false">Algae_yield_cost_factor/J81</f>
        <v>0.0961661603673293</v>
      </c>
      <c r="BC81" s="18" t="n">
        <f aca="false">Algae_yield_cost_factor/K81</f>
        <v>0.0961661603673293</v>
      </c>
      <c r="BD81" s="18" t="n">
        <f aca="false">Algae_yield_cost_factor/L81</f>
        <v>0.0961661603673293</v>
      </c>
      <c r="BE81" s="18" t="n">
        <f aca="false">Algae_yield_cost_factor/M81</f>
        <v>0.0918119008036252</v>
      </c>
      <c r="BF81" s="18" t="n">
        <f aca="false">Algae_yield_cost_factor/N81</f>
        <v>0.08938553626597</v>
      </c>
      <c r="BG81" s="18" t="n">
        <f aca="false">Algae_yield_cost_factor/O81</f>
        <v>0.0859237931523457</v>
      </c>
      <c r="BH81" s="18" t="n">
        <f aca="false">Algae_yield_cost_factor/P81</f>
        <v>0.0813295708111577</v>
      </c>
      <c r="BI81" s="18" t="n">
        <f aca="false">Algae_yield_cost_factor/Q81</f>
        <v>0.0757845545490231</v>
      </c>
      <c r="BJ81" s="18" t="n">
        <f aca="false">Algae_yield_cost_factor/R81</f>
        <v>0.0698100335950378</v>
      </c>
      <c r="BK81" s="18" t="n">
        <f aca="false">Algae_yield_cost_factor/S81</f>
        <v>0.0641107735782196</v>
      </c>
      <c r="BL81" s="18" t="n">
        <f aca="false">Algae_yield_cost_factor/T81</f>
        <v>0.0592718464604553</v>
      </c>
      <c r="BM81" s="18" t="n">
        <f aca="false">Algae_yield_cost_factor/U81</f>
        <v>0.055553383088536</v>
      </c>
      <c r="BN81" s="18" t="n">
        <f aca="false">Algae_yield_cost_factor/V81</f>
        <v>0.0529090618441782</v>
      </c>
      <c r="BO81" s="18" t="n">
        <f aca="false">Algae_yield_cost_factor/W81</f>
        <v>0.0511305347574877</v>
      </c>
      <c r="BP81" s="18" t="n">
        <f aca="false">Algae_yield_cost_factor/X81</f>
        <v>0.0499787278509393</v>
      </c>
      <c r="BQ81" s="18" t="n">
        <f aca="false">Algae_yield_cost_factor/Y81</f>
        <v>0.0492509651983495</v>
      </c>
      <c r="BR81" s="18" t="n">
        <f aca="false">Algae_yield_cost_factor/Z81</f>
        <v>0.0487982733073917</v>
      </c>
      <c r="BS81" s="18" t="n">
        <f aca="false">Algae_yield_cost_factor/AA81</f>
        <v>0.0485194204251677</v>
      </c>
      <c r="BT81" s="18" t="n">
        <f aca="false">Algae_yield_cost_factor/AB81</f>
        <v>0.0483486822829183</v>
      </c>
      <c r="BU81" s="18" t="n">
        <f aca="false">Algae_yield_cost_factor/AC81</f>
        <v>0.0482445268968814</v>
      </c>
    </row>
    <row r="82" customFormat="false" ht="15" hidden="false" customHeight="false" outlineLevel="0" collapsed="false">
      <c r="A82" s="18" t="s">
        <v>702</v>
      </c>
      <c r="B82" s="18" t="s">
        <v>22</v>
      </c>
      <c r="C82" s="18" t="s">
        <v>683</v>
      </c>
      <c r="D82" s="18" t="s">
        <v>683</v>
      </c>
      <c r="E82" s="185" t="n">
        <v>8.80275</v>
      </c>
      <c r="F82" s="18" t="n">
        <f aca="false">E82/$B$2*$F$3/1000</f>
        <v>0.0215667375</v>
      </c>
      <c r="G82" s="18" t="n">
        <f aca="false">LOOKUP(RIGHT(D82,5),Ref!$C$4:$C$21,Ref!$E$4:$E$21)*$G$3</f>
        <v>3</v>
      </c>
      <c r="H82" s="222" t="n">
        <f aca="false">$E82</f>
        <v>8.80275</v>
      </c>
      <c r="I82" s="185" t="n">
        <f aca="false">$E82</f>
        <v>8.80275</v>
      </c>
      <c r="J82" s="185" t="n">
        <f aca="false">$E82</f>
        <v>8.80275</v>
      </c>
      <c r="K82" s="185" t="n">
        <f aca="false">$E82</f>
        <v>8.80275</v>
      </c>
      <c r="L82" s="185" t="n">
        <f aca="false">$E82</f>
        <v>8.80275</v>
      </c>
      <c r="M82" s="185" t="n">
        <f aca="false">M$3*$E82</f>
        <v>9.22022810511383</v>
      </c>
      <c r="N82" s="185" t="n">
        <f aca="false">N$3*$E82</f>
        <v>9.470510594182</v>
      </c>
      <c r="O82" s="185" t="n">
        <f aca="false">O$3*$E82</f>
        <v>9.85206352183019</v>
      </c>
      <c r="P82" s="185" t="n">
        <f aca="false">P$3*$E82</f>
        <v>10.4085962796864</v>
      </c>
      <c r="Q82" s="185" t="n">
        <f aca="false">Q$3*$E82</f>
        <v>11.1701740969647</v>
      </c>
      <c r="R82" s="185" t="n">
        <f aca="false">R$3*$E82</f>
        <v>12.1261461222629</v>
      </c>
      <c r="S82" s="185" t="n">
        <f aca="false">S$3*$E82</f>
        <v>13.204125</v>
      </c>
      <c r="T82" s="185" t="n">
        <f aca="false">T$3*$E82</f>
        <v>14.2821038777371</v>
      </c>
      <c r="U82" s="185" t="n">
        <f aca="false">U$3*$E82</f>
        <v>15.2380759030353</v>
      </c>
      <c r="V82" s="185" t="n">
        <f aca="false">V$3*$E82</f>
        <v>15.9996537203136</v>
      </c>
      <c r="W82" s="185" t="n">
        <f aca="false">W$3*$E82</f>
        <v>16.5561864781698</v>
      </c>
      <c r="X82" s="185" t="n">
        <f aca="false">X$3*$E82</f>
        <v>16.937739405818</v>
      </c>
      <c r="Y82" s="185" t="n">
        <f aca="false">Y$3*$E82</f>
        <v>17.1880218948862</v>
      </c>
      <c r="Z82" s="185" t="n">
        <f aca="false">Z$3*$E82</f>
        <v>17.3474717607535</v>
      </c>
      <c r="AA82" s="185" t="n">
        <f aca="false">AA$3*$E82</f>
        <v>17.4471718902562</v>
      </c>
      <c r="AB82" s="185" t="n">
        <f aca="false">AB$3*$E82</f>
        <v>17.5087846907585</v>
      </c>
      <c r="AC82" s="185" t="n">
        <f aca="false">AC$3*$E82</f>
        <v>17.5465845065263</v>
      </c>
      <c r="AD82" s="219" t="n">
        <f aca="false">Algae_electricity_factor/H82</f>
        <v>0.0015612844967231</v>
      </c>
      <c r="AE82" s="220" t="n">
        <f aca="false">Algae_electricity_factor/I82</f>
        <v>0.0015612844967231</v>
      </c>
      <c r="AF82" s="220" t="n">
        <f aca="false">Algae_electricity_factor/J82</f>
        <v>0.0015612844967231</v>
      </c>
      <c r="AG82" s="220" t="n">
        <f aca="false">Algae_electricity_factor/K82</f>
        <v>0.0015612844967231</v>
      </c>
      <c r="AH82" s="220" t="n">
        <f aca="false">Algae_electricity_factor/L82</f>
        <v>0.0015612844967231</v>
      </c>
      <c r="AI82" s="220" t="n">
        <f aca="false">Algae_electricity_factor/M82</f>
        <v>0.00149059187547721</v>
      </c>
      <c r="AJ82" s="220" t="n">
        <f aca="false">Algae_electricity_factor/N82</f>
        <v>0.00145119916892045</v>
      </c>
      <c r="AK82" s="220" t="n">
        <f aca="false">Algae_electricity_factor/O82</f>
        <v>0.00139499680174374</v>
      </c>
      <c r="AL82" s="220" t="n">
        <f aca="false">Algae_electricity_factor/P82</f>
        <v>0.00132040831772402</v>
      </c>
      <c r="AM82" s="220" t="n">
        <f aca="false">Algae_electricity_factor/Q82</f>
        <v>0.0012303834286042</v>
      </c>
      <c r="AN82" s="220" t="n">
        <f aca="false">Algae_electricity_factor/R82</f>
        <v>0.00113338541074454</v>
      </c>
      <c r="AO82" s="220" t="n">
        <f aca="false">Algae_electricity_factor/S82</f>
        <v>0.00104085633114873</v>
      </c>
      <c r="AP82" s="220" t="n">
        <f aca="false">Algae_electricity_factor/T82</f>
        <v>0.000962294996674314</v>
      </c>
      <c r="AQ82" s="220" t="n">
        <f aca="false">Algae_electricity_factor/U82</f>
        <v>0.000901924704338273</v>
      </c>
      <c r="AR82" s="220" t="n">
        <f aca="false">Algae_electricity_factor/V82</f>
        <v>0.000858993409718613</v>
      </c>
      <c r="AS82" s="220" t="n">
        <f aca="false">Algae_electricity_factor/W82</f>
        <v>0.00083011852528062</v>
      </c>
      <c r="AT82" s="220" t="n">
        <f aca="false">Algae_electricity_factor/X82</f>
        <v>0.000811418618166272</v>
      </c>
      <c r="AU82" s="220" t="n">
        <f aca="false">Algae_electricity_factor/Y82</f>
        <v>0.000799603188056113</v>
      </c>
      <c r="AV82" s="220" t="n">
        <f aca="false">Algae_electricity_factor/Z82</f>
        <v>0.000792253608656821</v>
      </c>
      <c r="AW82" s="220" t="n">
        <f aca="false">Algae_electricity_factor/AA82</f>
        <v>0.000787726354160855</v>
      </c>
      <c r="AX82" s="220" t="n">
        <f aca="false">Algae_electricity_factor/AB82</f>
        <v>0.000784954372691748</v>
      </c>
      <c r="AY82" s="220" t="n">
        <f aca="false">Algae_electricity_factor/AC82</f>
        <v>0.0007832633808829</v>
      </c>
      <c r="AZ82" s="211" t="n">
        <f aca="false">Algae_yield_cost_factor/H82</f>
        <v>0.0864323784369905</v>
      </c>
      <c r="BA82" s="18" t="n">
        <f aca="false">Algae_yield_cost_factor/I82</f>
        <v>0.0864323784369905</v>
      </c>
      <c r="BB82" s="18" t="n">
        <f aca="false">Algae_yield_cost_factor/J82</f>
        <v>0.0864323784369905</v>
      </c>
      <c r="BC82" s="18" t="n">
        <f aca="false">Algae_yield_cost_factor/K82</f>
        <v>0.0864323784369905</v>
      </c>
      <c r="BD82" s="18" t="n">
        <f aca="false">Algae_yield_cost_factor/L82</f>
        <v>0.0864323784369905</v>
      </c>
      <c r="BE82" s="18" t="n">
        <f aca="false">Algae_yield_cost_factor/M82</f>
        <v>0.0825188499256576</v>
      </c>
      <c r="BF82" s="18" t="n">
        <f aca="false">Algae_yield_cost_factor/N82</f>
        <v>0.0803380780497331</v>
      </c>
      <c r="BG82" s="18" t="n">
        <f aca="false">Algae_yield_cost_factor/O82</f>
        <v>0.0772267269288655</v>
      </c>
      <c r="BH82" s="18" t="n">
        <f aca="false">Algae_yield_cost_factor/P82</f>
        <v>0.0730975242810687</v>
      </c>
      <c r="BI82" s="18" t="n">
        <f aca="false">Algae_yield_cost_factor/Q82</f>
        <v>0.0681137655225053</v>
      </c>
      <c r="BJ82" s="18" t="n">
        <f aca="false">Algae_yield_cost_factor/R82</f>
        <v>0.0627439758365897</v>
      </c>
      <c r="BK82" s="18" t="n">
        <f aca="false">Algae_yield_cost_factor/S82</f>
        <v>0.0576215856246603</v>
      </c>
      <c r="BL82" s="18" t="n">
        <f aca="false">Algae_yield_cost_factor/T82</f>
        <v>0.0532724468187223</v>
      </c>
      <c r="BM82" s="18" t="n">
        <f aca="false">Algae_yield_cost_factor/U82</f>
        <v>0.0499303602454602</v>
      </c>
      <c r="BN82" s="18" t="n">
        <f aca="false">Algae_yield_cost_factor/V82</f>
        <v>0.0475536928852548</v>
      </c>
      <c r="BO82" s="18" t="n">
        <f aca="false">Algae_yield_cost_factor/W82</f>
        <v>0.0459551854099631</v>
      </c>
      <c r="BP82" s="18" t="n">
        <f aca="false">Algae_yield_cost_factor/X82</f>
        <v>0.0449199625201976</v>
      </c>
      <c r="BQ82" s="18" t="n">
        <f aca="false">Algae_yield_cost_factor/Y82</f>
        <v>0.0442658628165109</v>
      </c>
      <c r="BR82" s="18" t="n">
        <f aca="false">Algae_yield_cost_factor/Z82</f>
        <v>0.0438589916605329</v>
      </c>
      <c r="BS82" s="18" t="n">
        <f aca="false">Algae_yield_cost_factor/AA82</f>
        <v>0.043608363812311</v>
      </c>
      <c r="BT82" s="18" t="n">
        <f aca="false">Algae_yield_cost_factor/AB82</f>
        <v>0.0434549075063905</v>
      </c>
      <c r="BU82" s="18" t="n">
        <f aca="false">Algae_yield_cost_factor/AC82</f>
        <v>0.0433612945586779</v>
      </c>
    </row>
    <row r="83" customFormat="false" ht="15" hidden="false" customHeight="false" outlineLevel="0" collapsed="false">
      <c r="A83" s="18" t="s">
        <v>702</v>
      </c>
      <c r="B83" s="18" t="s">
        <v>22</v>
      </c>
      <c r="C83" s="18" t="s">
        <v>684</v>
      </c>
      <c r="D83" s="18" t="s">
        <v>684</v>
      </c>
      <c r="E83" s="185" t="n">
        <v>8.95125</v>
      </c>
      <c r="F83" s="18" t="n">
        <f aca="false">E83/$B$2*$F$3/1000</f>
        <v>0.0219305625</v>
      </c>
      <c r="G83" s="18" t="n">
        <f aca="false">LOOKUP(RIGHT(D83,5),Ref!$C$4:$C$21,Ref!$E$4:$E$21)*$G$3</f>
        <v>3.5</v>
      </c>
      <c r="H83" s="222" t="n">
        <f aca="false">$E83</f>
        <v>8.95125</v>
      </c>
      <c r="I83" s="185" t="n">
        <f aca="false">$E83</f>
        <v>8.95125</v>
      </c>
      <c r="J83" s="185" t="n">
        <f aca="false">$E83</f>
        <v>8.95125</v>
      </c>
      <c r="K83" s="185" t="n">
        <f aca="false">$E83</f>
        <v>8.95125</v>
      </c>
      <c r="L83" s="185" t="n">
        <f aca="false">$E83</f>
        <v>8.95125</v>
      </c>
      <c r="M83" s="185" t="n">
        <f aca="false">M$3*$E83</f>
        <v>9.37577084728069</v>
      </c>
      <c r="N83" s="185" t="n">
        <f aca="false">N$3*$E83</f>
        <v>9.63027553391516</v>
      </c>
      <c r="O83" s="185" t="n">
        <f aca="false">O$3*$E83</f>
        <v>10.0182651557505</v>
      </c>
      <c r="P83" s="185" t="n">
        <f aca="false">P$3*$E83</f>
        <v>10.5841864699716</v>
      </c>
      <c r="Q83" s="185" t="n">
        <f aca="false">Q$3*$E83</f>
        <v>11.3586118980382</v>
      </c>
      <c r="R83" s="185" t="n">
        <f aca="false">R$3*$E83</f>
        <v>12.3307109115794</v>
      </c>
      <c r="S83" s="185" t="n">
        <f aca="false">S$3*$E83</f>
        <v>13.426875</v>
      </c>
      <c r="T83" s="185" t="n">
        <f aca="false">T$3*$E83</f>
        <v>14.5230390884206</v>
      </c>
      <c r="U83" s="185" t="n">
        <f aca="false">U$3*$E83</f>
        <v>15.4951381019618</v>
      </c>
      <c r="V83" s="185" t="n">
        <f aca="false">V$3*$E83</f>
        <v>16.2695635300284</v>
      </c>
      <c r="W83" s="185" t="n">
        <f aca="false">W$3*$E83</f>
        <v>16.8354848442495</v>
      </c>
      <c r="X83" s="185" t="n">
        <f aca="false">X$3*$E83</f>
        <v>17.2234744660848</v>
      </c>
      <c r="Y83" s="185" t="n">
        <f aca="false">Y$3*$E83</f>
        <v>17.4779791527193</v>
      </c>
      <c r="Z83" s="185" t="n">
        <f aca="false">Z$3*$E83</f>
        <v>17.6401188944869</v>
      </c>
      <c r="AA83" s="185" t="n">
        <f aca="false">AA$3*$E83</f>
        <v>17.7415009380768</v>
      </c>
      <c r="AB83" s="185" t="n">
        <f aca="false">AB$3*$E83</f>
        <v>17.8041531297779</v>
      </c>
      <c r="AC83" s="185" t="n">
        <f aca="false">AC$3*$E83</f>
        <v>17.842590618164</v>
      </c>
      <c r="AD83" s="219" t="n">
        <f aca="false">Algae_electricity_factor/H83</f>
        <v>0.00153538300276825</v>
      </c>
      <c r="AE83" s="220" t="n">
        <f aca="false">Algae_electricity_factor/I83</f>
        <v>0.00153538300276825</v>
      </c>
      <c r="AF83" s="220" t="n">
        <f aca="false">Algae_electricity_factor/J83</f>
        <v>0.00153538300276825</v>
      </c>
      <c r="AG83" s="220" t="n">
        <f aca="false">Algae_electricity_factor/K83</f>
        <v>0.00153538300276825</v>
      </c>
      <c r="AH83" s="220" t="n">
        <f aca="false">Algae_electricity_factor/L83</f>
        <v>0.00153538300276825</v>
      </c>
      <c r="AI83" s="220" t="n">
        <f aca="false">Algae_electricity_factor/M83</f>
        <v>0.00146586316233565</v>
      </c>
      <c r="AJ83" s="220" t="n">
        <f aca="false">Algae_electricity_factor/N83</f>
        <v>0.00142712397533468</v>
      </c>
      <c r="AK83" s="220" t="n">
        <f aca="false">Algae_electricity_factor/O83</f>
        <v>0.00137185399765951</v>
      </c>
      <c r="AL83" s="220" t="n">
        <f aca="false">Algae_electricity_factor/P83</f>
        <v>0.00129850292627791</v>
      </c>
      <c r="AM83" s="220" t="n">
        <f aca="false">Algae_electricity_factor/Q83</f>
        <v>0.00120997153762275</v>
      </c>
      <c r="AN83" s="220" t="n">
        <f aca="false">Algae_electricity_factor/R83</f>
        <v>0.00111458270346952</v>
      </c>
      <c r="AO83" s="220" t="n">
        <f aca="false">Algae_electricity_factor/S83</f>
        <v>0.00102358866851216</v>
      </c>
      <c r="AP83" s="220" t="n">
        <f aca="false">Algae_electricity_factor/T83</f>
        <v>0.000946330655715662</v>
      </c>
      <c r="AQ83" s="220" t="n">
        <f aca="false">Algae_electricity_factor/U83</f>
        <v>0.000886961898183353</v>
      </c>
      <c r="AR83" s="220" t="n">
        <f aca="false">Algae_electricity_factor/V83</f>
        <v>0.00084474282780623</v>
      </c>
      <c r="AS83" s="220" t="n">
        <f aca="false">Algae_electricity_factor/W83</f>
        <v>0.000816346973709144</v>
      </c>
      <c r="AT83" s="220" t="n">
        <f aca="false">Algae_electricity_factor/X83</f>
        <v>0.000797957295468583</v>
      </c>
      <c r="AU83" s="220" t="n">
        <f aca="false">Algae_electricity_factor/Y83</f>
        <v>0.000786337881710482</v>
      </c>
      <c r="AV83" s="220" t="n">
        <f aca="false">Algae_electricity_factor/Z83</f>
        <v>0.000779110230817353</v>
      </c>
      <c r="AW83" s="220" t="n">
        <f aca="false">Algae_electricity_factor/AA83</f>
        <v>0.000774658082847587</v>
      </c>
      <c r="AX83" s="220" t="n">
        <f aca="false">Algae_electricity_factor/AB83</f>
        <v>0.00077193208816783</v>
      </c>
      <c r="AY83" s="220" t="n">
        <f aca="false">Algae_electricity_factor/AC83</f>
        <v>0.000770269149679312</v>
      </c>
      <c r="AZ83" s="211" t="n">
        <f aca="false">Algae_yield_cost_factor/H83</f>
        <v>0.0849984772278975</v>
      </c>
      <c r="BA83" s="18" t="n">
        <f aca="false">Algae_yield_cost_factor/I83</f>
        <v>0.0849984772278975</v>
      </c>
      <c r="BB83" s="18" t="n">
        <f aca="false">Algae_yield_cost_factor/J83</f>
        <v>0.0849984772278975</v>
      </c>
      <c r="BC83" s="18" t="n">
        <f aca="false">Algae_yield_cost_factor/K83</f>
        <v>0.0849984772278975</v>
      </c>
      <c r="BD83" s="18" t="n">
        <f aca="false">Algae_yield_cost_factor/L83</f>
        <v>0.0849984772278975</v>
      </c>
      <c r="BE83" s="18" t="n">
        <f aca="false">Algae_yield_cost_factor/M83</f>
        <v>0.0811498736135268</v>
      </c>
      <c r="BF83" s="18" t="n">
        <f aca="false">Algae_yield_cost_factor/N83</f>
        <v>0.0790052804415348</v>
      </c>
      <c r="BG83" s="18" t="n">
        <f aca="false">Algae_yield_cost_factor/O83</f>
        <v>0.0759455462056217</v>
      </c>
      <c r="BH83" s="18" t="n">
        <f aca="false">Algae_yield_cost_factor/P83</f>
        <v>0.0718848464588943</v>
      </c>
      <c r="BI83" s="18" t="n">
        <f aca="false">Algae_yield_cost_factor/Q83</f>
        <v>0.0669837675691366</v>
      </c>
      <c r="BJ83" s="18" t="n">
        <f aca="false">Algae_yield_cost_factor/R83</f>
        <v>0.061703061951743</v>
      </c>
      <c r="BK83" s="18" t="n">
        <f aca="false">Algae_yield_cost_factor/S83</f>
        <v>0.056665651485265</v>
      </c>
      <c r="BL83" s="18" t="n">
        <f aca="false">Algae_yield_cost_factor/T83</f>
        <v>0.052388664290854</v>
      </c>
      <c r="BM83" s="18" t="n">
        <f aca="false">Algae_yield_cost_factor/U83</f>
        <v>0.0491020224718028</v>
      </c>
      <c r="BN83" s="18" t="n">
        <f aca="false">Algae_yield_cost_factor/V83</f>
        <v>0.0467647836945317</v>
      </c>
      <c r="BO83" s="18" t="n">
        <f aca="false">Algae_yield_cost_factor/W83</f>
        <v>0.0451927952372633</v>
      </c>
      <c r="BP83" s="18" t="n">
        <f aca="false">Algae_yield_cost_factor/X83</f>
        <v>0.0441747465521206</v>
      </c>
      <c r="BQ83" s="18" t="n">
        <f aca="false">Algae_yield_cost_factor/Y83</f>
        <v>0.0435314982720896</v>
      </c>
      <c r="BR83" s="18" t="n">
        <f aca="false">Algae_yield_cost_factor/Z83</f>
        <v>0.0431313770523397</v>
      </c>
      <c r="BS83" s="18" t="n">
        <f aca="false">Algae_yield_cost_factor/AA83</f>
        <v>0.0428849070854708</v>
      </c>
      <c r="BT83" s="18" t="n">
        <f aca="false">Algae_yield_cost_factor/AB83</f>
        <v>0.0427339965984503</v>
      </c>
      <c r="BU83" s="18" t="n">
        <f aca="false">Algae_yield_cost_factor/AC83</f>
        <v>0.0426419366765984</v>
      </c>
    </row>
    <row r="84" customFormat="false" ht="15" hidden="false" customHeight="false" outlineLevel="0" collapsed="false">
      <c r="A84" s="18" t="s">
        <v>702</v>
      </c>
      <c r="B84" s="18" t="s">
        <v>22</v>
      </c>
      <c r="C84" s="18" t="s">
        <v>685</v>
      </c>
      <c r="D84" s="18" t="s">
        <v>685</v>
      </c>
      <c r="E84" s="185" t="n">
        <v>8.4975</v>
      </c>
      <c r="F84" s="18" t="n">
        <f aca="false">E84/$B$2*$F$3/1000</f>
        <v>0.020818875</v>
      </c>
      <c r="G84" s="18" t="n">
        <f aca="false">LOOKUP(RIGHT(D84,5),Ref!$C$4:$C$21,Ref!$E$4:$E$21)*$G$3</f>
        <v>4</v>
      </c>
      <c r="H84" s="222" t="n">
        <f aca="false">$E84</f>
        <v>8.4975</v>
      </c>
      <c r="I84" s="185" t="n">
        <f aca="false">$E84</f>
        <v>8.4975</v>
      </c>
      <c r="J84" s="185" t="n">
        <f aca="false">$E84</f>
        <v>8.4975</v>
      </c>
      <c r="K84" s="185" t="n">
        <f aca="false">$E84</f>
        <v>8.4975</v>
      </c>
      <c r="L84" s="185" t="n">
        <f aca="false">$E84</f>
        <v>8.4975</v>
      </c>
      <c r="M84" s="185" t="n">
        <f aca="false">M$3*$E84</f>
        <v>8.90050135732637</v>
      </c>
      <c r="N84" s="185" t="n">
        <f aca="false">N$3*$E84</f>
        <v>9.14210488473052</v>
      </c>
      <c r="O84" s="185" t="n">
        <f aca="false">O$3*$E84</f>
        <v>9.51042682988295</v>
      </c>
      <c r="P84" s="185" t="n">
        <f aca="false">P$3*$E84</f>
        <v>10.0476608885445</v>
      </c>
      <c r="Q84" s="185" t="n">
        <f aca="false">Q$3*$E84</f>
        <v>10.7828297280915</v>
      </c>
      <c r="R84" s="185" t="n">
        <f aca="false">R$3*$E84</f>
        <v>11.7056518331122</v>
      </c>
      <c r="S84" s="185" t="n">
        <f aca="false">S$3*$E84</f>
        <v>12.74625</v>
      </c>
      <c r="T84" s="185" t="n">
        <f aca="false">T$3*$E84</f>
        <v>13.7868481668878</v>
      </c>
      <c r="U84" s="185" t="n">
        <f aca="false">U$3*$E84</f>
        <v>14.7096702719085</v>
      </c>
      <c r="V84" s="185" t="n">
        <f aca="false">V$3*$E84</f>
        <v>15.4448391114555</v>
      </c>
      <c r="W84" s="185" t="n">
        <f aca="false">W$3*$E84</f>
        <v>15.9820731701171</v>
      </c>
      <c r="X84" s="185" t="n">
        <f aca="false">X$3*$E84</f>
        <v>16.3503951152695</v>
      </c>
      <c r="Y84" s="185" t="n">
        <f aca="false">Y$3*$E84</f>
        <v>16.5919986426736</v>
      </c>
      <c r="Z84" s="185" t="n">
        <f aca="false">Z$3*$E84</f>
        <v>16.7459193191904</v>
      </c>
      <c r="AA84" s="185" t="n">
        <f aca="false">AA$3*$E84</f>
        <v>16.8421621808471</v>
      </c>
      <c r="AB84" s="185" t="n">
        <f aca="false">AB$3*$E84</f>
        <v>16.9016384549965</v>
      </c>
      <c r="AC84" s="185" t="n">
        <f aca="false">AC$3*$E84</f>
        <v>16.9381274992709</v>
      </c>
      <c r="AD84" s="219" t="n">
        <f aca="false">Algae_electricity_factor/H84</f>
        <v>0.00161736947378985</v>
      </c>
      <c r="AE84" s="220" t="n">
        <f aca="false">Algae_electricity_factor/I84</f>
        <v>0.00161736947378985</v>
      </c>
      <c r="AF84" s="220" t="n">
        <f aca="false">Algae_electricity_factor/J84</f>
        <v>0.00161736947378985</v>
      </c>
      <c r="AG84" s="220" t="n">
        <f aca="false">Algae_electricity_factor/K84</f>
        <v>0.00161736947378985</v>
      </c>
      <c r="AH84" s="220" t="n">
        <f aca="false">Algae_electricity_factor/L84</f>
        <v>0.00161736947378985</v>
      </c>
      <c r="AI84" s="220" t="n">
        <f aca="false">Algae_electricity_factor/M84</f>
        <v>0.00154413740886813</v>
      </c>
      <c r="AJ84" s="220" t="n">
        <f aca="false">Algae_electricity_factor/N84</f>
        <v>0.00150332962450303</v>
      </c>
      <c r="AK84" s="220" t="n">
        <f aca="false">Algae_electricity_factor/O84</f>
        <v>0.00144510833734036</v>
      </c>
      <c r="AL84" s="220" t="n">
        <f aca="false">Algae_electricity_factor/P84</f>
        <v>0.00136784046117625</v>
      </c>
      <c r="AM84" s="220" t="n">
        <f aca="false">Algae_electricity_factor/Q84</f>
        <v>0.0012745816682725</v>
      </c>
      <c r="AN84" s="220" t="n">
        <f aca="false">Algae_electricity_factor/R84</f>
        <v>0.00117409925559653</v>
      </c>
      <c r="AO84" s="220" t="n">
        <f aca="false">Algae_electricity_factor/S84</f>
        <v>0.0010782463158599</v>
      </c>
      <c r="AP84" s="220" t="n">
        <f aca="false">Algae_electricity_factor/T84</f>
        <v>0.000996862875195625</v>
      </c>
      <c r="AQ84" s="220" t="n">
        <f aca="false">Algae_electricity_factor/U84</f>
        <v>0.000934323941290231</v>
      </c>
      <c r="AR84" s="220" t="n">
        <f aca="false">Algae_electricity_factor/V84</f>
        <v>0.000889850454533747</v>
      </c>
      <c r="AS84" s="220" t="n">
        <f aca="false">Algae_electricity_factor/W84</f>
        <v>0.000859938316965458</v>
      </c>
      <c r="AT84" s="220" t="n">
        <f aca="false">Algae_electricity_factor/X84</f>
        <v>0.000840566665614964</v>
      </c>
      <c r="AU84" s="220" t="n">
        <f aca="false">Algae_electricity_factor/Y84</f>
        <v>0.000828326797724148</v>
      </c>
      <c r="AV84" s="220" t="n">
        <f aca="false">Algae_electricity_factor/Z84</f>
        <v>0.0008207132043076</v>
      </c>
      <c r="AW84" s="220" t="n">
        <f aca="false">Algae_electricity_factor/AA84</f>
        <v>0.000816023320281196</v>
      </c>
      <c r="AX84" s="220" t="n">
        <f aca="false">Algae_electricity_factor/AB84</f>
        <v>0.000813151762778733</v>
      </c>
      <c r="AY84" s="220" t="n">
        <f aca="false">Algae_electricity_factor/AC84</f>
        <v>0.000811400026603936</v>
      </c>
      <c r="AZ84" s="211" t="n">
        <f aca="false">Algae_yield_cost_factor/H84</f>
        <v>0.0895372308662804</v>
      </c>
      <c r="BA84" s="18" t="n">
        <f aca="false">Algae_yield_cost_factor/I84</f>
        <v>0.0895372308662804</v>
      </c>
      <c r="BB84" s="18" t="n">
        <f aca="false">Algae_yield_cost_factor/J84</f>
        <v>0.0895372308662804</v>
      </c>
      <c r="BC84" s="18" t="n">
        <f aca="false">Algae_yield_cost_factor/K84</f>
        <v>0.0895372308662804</v>
      </c>
      <c r="BD84" s="18" t="n">
        <f aca="false">Algae_yield_cost_factor/L84</f>
        <v>0.0895372308662804</v>
      </c>
      <c r="BE84" s="18" t="n">
        <f aca="false">Algae_yield_cost_factor/M84</f>
        <v>0.0854831192919191</v>
      </c>
      <c r="BF84" s="18" t="n">
        <f aca="false">Algae_yield_cost_factor/N84</f>
        <v>0.0832240090088012</v>
      </c>
      <c r="BG84" s="18" t="n">
        <f aca="false">Algae_yield_cost_factor/O84</f>
        <v>0.0800008909059219</v>
      </c>
      <c r="BH84" s="18" t="n">
        <f aca="false">Algae_yield_cost_factor/P84</f>
        <v>0.0757233576775731</v>
      </c>
      <c r="BI84" s="18" t="n">
        <f aca="false">Algae_yield_cost_factor/Q84</f>
        <v>0.0705605706917604</v>
      </c>
      <c r="BJ84" s="18" t="n">
        <f aca="false">Algae_yield_cost_factor/R84</f>
        <v>0.0649978856481954</v>
      </c>
      <c r="BK84" s="18" t="n">
        <f aca="false">Algae_yield_cost_factor/S84</f>
        <v>0.0596914872441869</v>
      </c>
      <c r="BL84" s="18" t="n">
        <f aca="false">Algae_yield_cost_factor/T84</f>
        <v>0.0551861172384239</v>
      </c>
      <c r="BM84" s="18" t="n">
        <f aca="false">Algae_yield_cost_factor/U84</f>
        <v>0.0517239751280641</v>
      </c>
      <c r="BN84" s="18" t="n">
        <f aca="false">Algae_yield_cost_factor/V84</f>
        <v>0.0492619323384145</v>
      </c>
      <c r="BO84" s="18" t="n">
        <f aca="false">Algae_yield_cost_factor/W84</f>
        <v>0.0476060027499327</v>
      </c>
      <c r="BP84" s="18" t="n">
        <f aca="false">Algae_yield_cost_factor/X84</f>
        <v>0.0465335922417969</v>
      </c>
      <c r="BQ84" s="18" t="n">
        <f aca="false">Algae_yield_cost_factor/Y84</f>
        <v>0.045855995752638</v>
      </c>
      <c r="BR84" s="18" t="n">
        <f aca="false">Algae_yield_cost_factor/Z84</f>
        <v>0.045434508836688</v>
      </c>
      <c r="BS84" s="18" t="n">
        <f aca="false">Algae_yield_cost_factor/AA84</f>
        <v>0.0451748778521707</v>
      </c>
      <c r="BT84" s="18" t="n">
        <f aca="false">Algae_yield_cost_factor/AB84</f>
        <v>0.0450159090381734</v>
      </c>
      <c r="BU84" s="18" t="n">
        <f aca="false">Algae_yield_cost_factor/AC84</f>
        <v>0.0449189332952517</v>
      </c>
    </row>
    <row r="85" customFormat="false" ht="15" hidden="false" customHeight="false" outlineLevel="0" collapsed="false">
      <c r="A85" s="18" t="s">
        <v>702</v>
      </c>
      <c r="B85" s="18" t="s">
        <v>22</v>
      </c>
      <c r="C85" s="18" t="s">
        <v>686</v>
      </c>
      <c r="D85" s="18" t="s">
        <v>686</v>
      </c>
      <c r="E85" s="185" t="n">
        <v>8.5305</v>
      </c>
      <c r="F85" s="18" t="n">
        <f aca="false">E85/$B$2*$F$3/1000</f>
        <v>0.020899725</v>
      </c>
      <c r="G85" s="18" t="n">
        <f aca="false">LOOKUP(RIGHT(D85,5),Ref!$C$4:$C$21,Ref!$E$4:$E$21)*$G$3</f>
        <v>4.5</v>
      </c>
      <c r="H85" s="222" t="n">
        <f aca="false">$E85</f>
        <v>8.5305</v>
      </c>
      <c r="I85" s="185" t="n">
        <f aca="false">$E85</f>
        <v>8.5305</v>
      </c>
      <c r="J85" s="185" t="n">
        <f aca="false">$E85</f>
        <v>8.5305</v>
      </c>
      <c r="K85" s="185" t="n">
        <f aca="false">$E85</f>
        <v>8.5305</v>
      </c>
      <c r="L85" s="185" t="n">
        <f aca="false">$E85</f>
        <v>8.5305</v>
      </c>
      <c r="M85" s="185" t="n">
        <f aca="false">M$3*$E85</f>
        <v>8.93506641114123</v>
      </c>
      <c r="N85" s="185" t="n">
        <f aca="false">N$3*$E85</f>
        <v>9.17760820467122</v>
      </c>
      <c r="O85" s="185" t="n">
        <f aca="false">O$3*$E85</f>
        <v>9.54736052630967</v>
      </c>
      <c r="P85" s="185" t="n">
        <f aca="false">P$3*$E85</f>
        <v>10.0866809308301</v>
      </c>
      <c r="Q85" s="185" t="n">
        <f aca="false">Q$3*$E85</f>
        <v>10.8247047949967</v>
      </c>
      <c r="R85" s="185" t="n">
        <f aca="false">R$3*$E85</f>
        <v>11.7511106751826</v>
      </c>
      <c r="S85" s="185" t="n">
        <f aca="false">S$3*$E85</f>
        <v>12.79575</v>
      </c>
      <c r="T85" s="185" t="n">
        <f aca="false">T$3*$E85</f>
        <v>13.8403893248174</v>
      </c>
      <c r="U85" s="185" t="n">
        <f aca="false">U$3*$E85</f>
        <v>14.7667952050033</v>
      </c>
      <c r="V85" s="185" t="n">
        <f aca="false">V$3*$E85</f>
        <v>15.5048190691699</v>
      </c>
      <c r="W85" s="185" t="n">
        <f aca="false">W$3*$E85</f>
        <v>16.0441394736903</v>
      </c>
      <c r="X85" s="185" t="n">
        <f aca="false">X$3*$E85</f>
        <v>16.4138917953288</v>
      </c>
      <c r="Y85" s="185" t="n">
        <f aca="false">Y$3*$E85</f>
        <v>16.6564335888588</v>
      </c>
      <c r="Z85" s="185" t="n">
        <f aca="false">Z$3*$E85</f>
        <v>16.8109520155756</v>
      </c>
      <c r="AA85" s="185" t="n">
        <f aca="false">AA$3*$E85</f>
        <v>16.9075686359184</v>
      </c>
      <c r="AB85" s="185" t="n">
        <f aca="false">AB$3*$E85</f>
        <v>16.9672758858897</v>
      </c>
      <c r="AC85" s="185" t="n">
        <f aca="false">AC$3*$E85</f>
        <v>17.0039066351904</v>
      </c>
      <c r="AD85" s="219" t="n">
        <f aca="false">Algae_electricity_factor/H85</f>
        <v>0.00161111272534192</v>
      </c>
      <c r="AE85" s="220" t="n">
        <f aca="false">Algae_electricity_factor/I85</f>
        <v>0.00161111272534192</v>
      </c>
      <c r="AF85" s="220" t="n">
        <f aca="false">Algae_electricity_factor/J85</f>
        <v>0.00161111272534192</v>
      </c>
      <c r="AG85" s="220" t="n">
        <f aca="false">Algae_electricity_factor/K85</f>
        <v>0.00161111272534192</v>
      </c>
      <c r="AH85" s="220" t="n">
        <f aca="false">Algae_electricity_factor/L85</f>
        <v>0.00161111272534192</v>
      </c>
      <c r="AI85" s="220" t="n">
        <f aca="false">Algae_electricity_factor/M85</f>
        <v>0.00153816395660946</v>
      </c>
      <c r="AJ85" s="220" t="n">
        <f aca="false">Algae_electricity_factor/N85</f>
        <v>0.00149751403601366</v>
      </c>
      <c r="AK85" s="220" t="n">
        <f aca="false">Algae_electricity_factor/O85</f>
        <v>0.00143951797626747</v>
      </c>
      <c r="AL85" s="220" t="n">
        <f aca="false">Algae_electricity_factor/P85</f>
        <v>0.00136254900871522</v>
      </c>
      <c r="AM85" s="220" t="n">
        <f aca="false">Algae_electricity_factor/Q85</f>
        <v>0.00126965098483625</v>
      </c>
      <c r="AN85" s="220" t="n">
        <f aca="false">Algae_electricity_factor/R85</f>
        <v>0.00116955728555554</v>
      </c>
      <c r="AO85" s="220" t="n">
        <f aca="false">Algae_electricity_factor/S85</f>
        <v>0.00107407515022795</v>
      </c>
      <c r="AP85" s="220" t="n">
        <f aca="false">Algae_electricity_factor/T85</f>
        <v>0.000993006539121367</v>
      </c>
      <c r="AQ85" s="220" t="n">
        <f aca="false">Algae_electricity_factor/U85</f>
        <v>0.000930709535327793</v>
      </c>
      <c r="AR85" s="220" t="n">
        <f aca="false">Algae_electricity_factor/V85</f>
        <v>0.000886408093007504</v>
      </c>
      <c r="AS85" s="220" t="n">
        <f aca="false">Algae_electricity_factor/W85</f>
        <v>0.00085661166970447</v>
      </c>
      <c r="AT85" s="220" t="n">
        <f aca="false">Algae_electricity_factor/X85</f>
        <v>0.000837314957043919</v>
      </c>
      <c r="AU85" s="220" t="n">
        <f aca="false">Algae_electricity_factor/Y85</f>
        <v>0.000825122438738755</v>
      </c>
      <c r="AV85" s="220" t="n">
        <f aca="false">Algae_electricity_factor/Z85</f>
        <v>0.000817538298294805</v>
      </c>
      <c r="AW85" s="220" t="n">
        <f aca="false">Algae_electricity_factor/AA85</f>
        <v>0.000812866556953222</v>
      </c>
      <c r="AX85" s="220" t="n">
        <f aca="false">Algae_electricity_factor/AB85</f>
        <v>0.000810006107990421</v>
      </c>
      <c r="AY85" s="220" t="n">
        <f aca="false">Algae_electricity_factor/AC85</f>
        <v>0.000808261148357886</v>
      </c>
      <c r="AZ85" s="211" t="n">
        <f aca="false">Algae_yield_cost_factor/H85</f>
        <v>0.0891908585998731</v>
      </c>
      <c r="BA85" s="18" t="n">
        <f aca="false">Algae_yield_cost_factor/I85</f>
        <v>0.0891908585998731</v>
      </c>
      <c r="BB85" s="18" t="n">
        <f aca="false">Algae_yield_cost_factor/J85</f>
        <v>0.0891908585998731</v>
      </c>
      <c r="BC85" s="18" t="n">
        <f aca="false">Algae_yield_cost_factor/K85</f>
        <v>0.0891908585998731</v>
      </c>
      <c r="BD85" s="18" t="n">
        <f aca="false">Algae_yield_cost_factor/L85</f>
        <v>0.0891908585998731</v>
      </c>
      <c r="BE85" s="18" t="n">
        <f aca="false">Algae_yield_cost_factor/M85</f>
        <v>0.0851524302424339</v>
      </c>
      <c r="BF85" s="18" t="n">
        <f aca="false">Algae_yield_cost_factor/N85</f>
        <v>0.0829020592640863</v>
      </c>
      <c r="BG85" s="18" t="n">
        <f aca="false">Algae_yield_cost_factor/O85</f>
        <v>0.079691409703191</v>
      </c>
      <c r="BH85" s="18" t="n">
        <f aca="false">Algae_yield_cost_factor/P85</f>
        <v>0.0754304239921666</v>
      </c>
      <c r="BI85" s="18" t="n">
        <f aca="false">Algae_yield_cost_factor/Q85</f>
        <v>0.0702876091030108</v>
      </c>
      <c r="BJ85" s="18" t="n">
        <f aca="false">Algae_yield_cost_factor/R85</f>
        <v>0.0647464431505234</v>
      </c>
      <c r="BK85" s="18" t="n">
        <f aca="false">Algae_yield_cost_factor/S85</f>
        <v>0.0594605723999154</v>
      </c>
      <c r="BL85" s="18" t="n">
        <f aca="false">Algae_yield_cost_factor/T85</f>
        <v>0.0549726312916602</v>
      </c>
      <c r="BM85" s="18" t="n">
        <f aca="false">Algae_yield_cost_factor/U85</f>
        <v>0.0515238823809536</v>
      </c>
      <c r="BN85" s="18" t="n">
        <f aca="false">Algae_yield_cost_factor/V85</f>
        <v>0.0490713639347842</v>
      </c>
      <c r="BO85" s="18" t="n">
        <f aca="false">Algae_yield_cost_factor/W85</f>
        <v>0.0474218402634726</v>
      </c>
      <c r="BP85" s="18" t="n">
        <f aca="false">Algae_yield_cost_factor/X85</f>
        <v>0.0463535783453103</v>
      </c>
      <c r="BQ85" s="18" t="n">
        <f aca="false">Algae_yield_cost_factor/Y85</f>
        <v>0.0456786031191655</v>
      </c>
      <c r="BR85" s="18" t="n">
        <f aca="false">Algae_yield_cost_factor/Z85</f>
        <v>0.0452587467135286</v>
      </c>
      <c r="BS85" s="18" t="n">
        <f aca="false">Algae_yield_cost_factor/AA85</f>
        <v>0.0450001201041933</v>
      </c>
      <c r="BT85" s="18" t="n">
        <f aca="false">Algae_yield_cost_factor/AB85</f>
        <v>0.0448417662565944</v>
      </c>
      <c r="BU85" s="18" t="n">
        <f aca="false">Algae_yield_cost_factor/AC85</f>
        <v>0.0447451656616144</v>
      </c>
    </row>
    <row r="86" customFormat="false" ht="15" hidden="false" customHeight="false" outlineLevel="0" collapsed="false">
      <c r="A86" s="18" t="s">
        <v>702</v>
      </c>
      <c r="B86" s="18" t="s">
        <v>22</v>
      </c>
      <c r="C86" s="18" t="s">
        <v>687</v>
      </c>
      <c r="D86" s="18" t="s">
        <v>687</v>
      </c>
      <c r="E86" s="185" t="n">
        <v>8.63775</v>
      </c>
      <c r="F86" s="18" t="n">
        <f aca="false">E86/$B$2*$F$3/1000</f>
        <v>0.0211624875</v>
      </c>
      <c r="G86" s="18" t="n">
        <f aca="false">LOOKUP(RIGHT(D86,5),Ref!$C$4:$C$21,Ref!$E$4:$E$21)*$G$3</f>
        <v>4.5</v>
      </c>
      <c r="H86" s="222" t="n">
        <f aca="false">$E86</f>
        <v>8.63775</v>
      </c>
      <c r="I86" s="185" t="n">
        <f aca="false">$E86</f>
        <v>8.63775</v>
      </c>
      <c r="J86" s="185" t="n">
        <f aca="false">$E86</f>
        <v>8.63775</v>
      </c>
      <c r="K86" s="185" t="n">
        <f aca="false">$E86</f>
        <v>8.63775</v>
      </c>
      <c r="L86" s="185" t="n">
        <f aca="false">$E86</f>
        <v>8.63775</v>
      </c>
      <c r="M86" s="185" t="n">
        <f aca="false">M$3*$E86</f>
        <v>9.04740283603953</v>
      </c>
      <c r="N86" s="185" t="n">
        <f aca="false">N$3*$E86</f>
        <v>9.29299399447849</v>
      </c>
      <c r="O86" s="185" t="n">
        <f aca="false">O$3*$E86</f>
        <v>9.66739503969654</v>
      </c>
      <c r="P86" s="185" t="n">
        <f aca="false">P$3*$E86</f>
        <v>10.2134960682584</v>
      </c>
      <c r="Q86" s="185" t="n">
        <f aca="false">Q$3*$E86</f>
        <v>10.9607987624387</v>
      </c>
      <c r="R86" s="185" t="n">
        <f aca="false">R$3*$E86</f>
        <v>11.8988519119112</v>
      </c>
      <c r="S86" s="185" t="n">
        <f aca="false">S$3*$E86</f>
        <v>12.956625</v>
      </c>
      <c r="T86" s="185" t="n">
        <f aca="false">T$3*$E86</f>
        <v>14.0143980880888</v>
      </c>
      <c r="U86" s="185" t="n">
        <f aca="false">U$3*$E86</f>
        <v>14.9524512375613</v>
      </c>
      <c r="V86" s="185" t="n">
        <f aca="false">V$3*$E86</f>
        <v>15.6997539317416</v>
      </c>
      <c r="W86" s="185" t="n">
        <f aca="false">W$3*$E86</f>
        <v>16.2458549603035</v>
      </c>
      <c r="X86" s="185" t="n">
        <f aca="false">X$3*$E86</f>
        <v>16.6202560055215</v>
      </c>
      <c r="Y86" s="185" t="n">
        <f aca="false">Y$3*$E86</f>
        <v>16.8658471639605</v>
      </c>
      <c r="Z86" s="185" t="n">
        <f aca="false">Z$3*$E86</f>
        <v>17.0223082788275</v>
      </c>
      <c r="AA86" s="185" t="n">
        <f aca="false">AA$3*$E86</f>
        <v>17.1201396148999</v>
      </c>
      <c r="AB86" s="185" t="n">
        <f aca="false">AB$3*$E86</f>
        <v>17.1805975362926</v>
      </c>
      <c r="AC86" s="185" t="n">
        <f aca="false">AC$3*$E86</f>
        <v>17.2176888269288</v>
      </c>
      <c r="AD86" s="219" t="n">
        <f aca="false">Algae_electricity_factor/H86</f>
        <v>0.00159110846036633</v>
      </c>
      <c r="AE86" s="220" t="n">
        <f aca="false">Algae_electricity_factor/I86</f>
        <v>0.00159110846036633</v>
      </c>
      <c r="AF86" s="220" t="n">
        <f aca="false">Algae_electricity_factor/J86</f>
        <v>0.00159110846036633</v>
      </c>
      <c r="AG86" s="220" t="n">
        <f aca="false">Algae_electricity_factor/K86</f>
        <v>0.00159110846036633</v>
      </c>
      <c r="AH86" s="220" t="n">
        <f aca="false">Algae_electricity_factor/L86</f>
        <v>0.00159110846036633</v>
      </c>
      <c r="AI86" s="220" t="n">
        <f aca="false">Algae_electricity_factor/M86</f>
        <v>0.00151906545476044</v>
      </c>
      <c r="AJ86" s="220" t="n">
        <f aca="false">Algae_electricity_factor/N86</f>
        <v>0.00147892026097242</v>
      </c>
      <c r="AK86" s="220" t="n">
        <f aca="false">Algae_electricity_factor/O86</f>
        <v>0.00142164430511993</v>
      </c>
      <c r="AL86" s="220" t="n">
        <f aca="false">Algae_electricity_factor/P86</f>
        <v>0.00134563101720299</v>
      </c>
      <c r="AM86" s="220" t="n">
        <f aca="false">Algae_electricity_factor/Q86</f>
        <v>0.00125388645493857</v>
      </c>
      <c r="AN86" s="220" t="n">
        <f aca="false">Algae_electricity_factor/R86</f>
        <v>0.00115503556185714</v>
      </c>
      <c r="AO86" s="220" t="n">
        <f aca="false">Algae_electricity_factor/S86</f>
        <v>0.00106073897357755</v>
      </c>
      <c r="AP86" s="220" t="n">
        <f aca="false">Algae_electricity_factor/T86</f>
        <v>0.000980676945034855</v>
      </c>
      <c r="AQ86" s="220" t="n">
        <f aca="false">Algae_electricity_factor/U86</f>
        <v>0.000919153447496598</v>
      </c>
      <c r="AR86" s="220" t="n">
        <f aca="false">Algae_electricity_factor/V86</f>
        <v>0.000875402070840267</v>
      </c>
      <c r="AS86" s="220" t="n">
        <f aca="false">Algae_electricity_factor/W86</f>
        <v>0.000845975612678531</v>
      </c>
      <c r="AT86" s="220" t="n">
        <f aca="false">Algae_electricity_factor/X86</f>
        <v>0.000826918496259229</v>
      </c>
      <c r="AU86" s="220" t="n">
        <f aca="false">Algae_electricity_factor/Y86</f>
        <v>0.000814877365478388</v>
      </c>
      <c r="AV86" s="220" t="n">
        <f aca="false">Algae_electricity_factor/Z86</f>
        <v>0.000807387392967362</v>
      </c>
      <c r="AW86" s="220" t="n">
        <f aca="false">Algae_electricity_factor/AA86</f>
        <v>0.000802773657965264</v>
      </c>
      <c r="AX86" s="220" t="n">
        <f aca="false">Algae_electricity_factor/AB86</f>
        <v>0.000799948725560741</v>
      </c>
      <c r="AY86" s="220" t="n">
        <f aca="false">Algae_electricity_factor/AC86</f>
        <v>0.000798225432093652</v>
      </c>
      <c r="AZ86" s="211" t="n">
        <f aca="false">Algae_yield_cost_factor/H86</f>
        <v>0.0880834267356913</v>
      </c>
      <c r="BA86" s="18" t="n">
        <f aca="false">Algae_yield_cost_factor/I86</f>
        <v>0.0880834267356913</v>
      </c>
      <c r="BB86" s="18" t="n">
        <f aca="false">Algae_yield_cost_factor/J86</f>
        <v>0.0880834267356913</v>
      </c>
      <c r="BC86" s="18" t="n">
        <f aca="false">Algae_yield_cost_factor/K86</f>
        <v>0.0880834267356913</v>
      </c>
      <c r="BD86" s="18" t="n">
        <f aca="false">Algae_yield_cost_factor/L86</f>
        <v>0.0880834267356913</v>
      </c>
      <c r="BE86" s="18" t="n">
        <f aca="false">Algae_yield_cost_factor/M86</f>
        <v>0.0840951412327379</v>
      </c>
      <c r="BF86" s="18" t="n">
        <f aca="false">Algae_yield_cost_factor/N86</f>
        <v>0.081872711823367</v>
      </c>
      <c r="BG86" s="18" t="n">
        <f aca="false">Algae_yield_cost_factor/O86</f>
        <v>0.0787019270612221</v>
      </c>
      <c r="BH86" s="18" t="n">
        <f aca="false">Algae_yield_cost_factor/P86</f>
        <v>0.0744938475720155</v>
      </c>
      <c r="BI86" s="18" t="n">
        <f aca="false">Algae_yield_cost_factor/Q86</f>
        <v>0.0694148880730785</v>
      </c>
      <c r="BJ86" s="18" t="n">
        <f aca="false">Algae_yield_cost_factor/R86</f>
        <v>0.0639425236080623</v>
      </c>
      <c r="BK86" s="18" t="n">
        <f aca="false">Algae_yield_cost_factor/S86</f>
        <v>0.0587222844904609</v>
      </c>
      <c r="BL86" s="18" t="n">
        <f aca="false">Algae_yield_cost_factor/T86</f>
        <v>0.0542900675793473</v>
      </c>
      <c r="BM86" s="18" t="n">
        <f aca="false">Algae_yield_cost_factor/U86</f>
        <v>0.0508841398107985</v>
      </c>
      <c r="BN86" s="18" t="n">
        <f aca="false">Algae_yield_cost_factor/V86</f>
        <v>0.048462072883063</v>
      </c>
      <c r="BO86" s="18" t="n">
        <f aca="false">Algae_yield_cost_factor/W86</f>
        <v>0.0468330304034677</v>
      </c>
      <c r="BP86" s="18" t="n">
        <f aca="false">Algae_yield_cost_factor/X86</f>
        <v>0.045778032482379</v>
      </c>
      <c r="BQ86" s="18" t="n">
        <f aca="false">Algae_yield_cost_factor/Y86</f>
        <v>0.0451114380374567</v>
      </c>
      <c r="BR86" s="18" t="n">
        <f aca="false">Algae_yield_cost_factor/Z86</f>
        <v>0.0446967947486042</v>
      </c>
      <c r="BS86" s="18" t="n">
        <f aca="false">Algae_yield_cost_factor/AA86</f>
        <v>0.0444413793579139</v>
      </c>
      <c r="BT86" s="18" t="n">
        <f aca="false">Algae_yield_cost_factor/AB86</f>
        <v>0.0442849916994447</v>
      </c>
      <c r="BU86" s="18" t="n">
        <f aca="false">Algae_yield_cost_factor/AC86</f>
        <v>0.0441895905387863</v>
      </c>
    </row>
    <row r="87" customFormat="false" ht="15" hidden="false" customHeight="false" outlineLevel="0" collapsed="false">
      <c r="A87" s="18" t="s">
        <v>702</v>
      </c>
      <c r="B87" s="18" t="s">
        <v>22</v>
      </c>
      <c r="C87" s="18" t="s">
        <v>688</v>
      </c>
      <c r="D87" s="18" t="s">
        <v>688</v>
      </c>
      <c r="E87" s="185" t="n">
        <v>8.2005</v>
      </c>
      <c r="F87" s="18" t="n">
        <f aca="false">E87/$B$2*$F$3/1000</f>
        <v>0.020091225</v>
      </c>
      <c r="G87" s="18" t="n">
        <f aca="false">LOOKUP(RIGHT(D87,5),Ref!$C$4:$C$21,Ref!$E$4:$E$21)*$G$3</f>
        <v>4.5</v>
      </c>
      <c r="H87" s="222" t="n">
        <f aca="false">$E87</f>
        <v>8.2005</v>
      </c>
      <c r="I87" s="185" t="n">
        <f aca="false">$E87</f>
        <v>8.2005</v>
      </c>
      <c r="J87" s="185" t="n">
        <f aca="false">$E87</f>
        <v>8.2005</v>
      </c>
      <c r="K87" s="185" t="n">
        <f aca="false">$E87</f>
        <v>8.2005</v>
      </c>
      <c r="L87" s="185" t="n">
        <f aca="false">$E87</f>
        <v>8.2005</v>
      </c>
      <c r="M87" s="185" t="n">
        <f aca="false">M$3*$E87</f>
        <v>8.58941587299264</v>
      </c>
      <c r="N87" s="185" t="n">
        <f aca="false">N$3*$E87</f>
        <v>8.82257500526421</v>
      </c>
      <c r="O87" s="185" t="n">
        <f aca="false">O$3*$E87</f>
        <v>9.17802356204238</v>
      </c>
      <c r="P87" s="185" t="n">
        <f aca="false">P$3*$E87</f>
        <v>9.69648050797403</v>
      </c>
      <c r="Q87" s="185" t="n">
        <f aca="false">Q$3*$E87</f>
        <v>10.4059541259446</v>
      </c>
      <c r="R87" s="185" t="n">
        <f aca="false">R$3*$E87</f>
        <v>11.2965222544792</v>
      </c>
      <c r="S87" s="185" t="n">
        <f aca="false">S$3*$E87</f>
        <v>12.30075</v>
      </c>
      <c r="T87" s="185" t="n">
        <f aca="false">T$3*$E87</f>
        <v>13.3049777455208</v>
      </c>
      <c r="U87" s="185" t="n">
        <f aca="false">U$3*$E87</f>
        <v>14.1955458740554</v>
      </c>
      <c r="V87" s="185" t="n">
        <f aca="false">V$3*$E87</f>
        <v>14.905019492026</v>
      </c>
      <c r="W87" s="185" t="n">
        <f aca="false">W$3*$E87</f>
        <v>15.4234764379576</v>
      </c>
      <c r="X87" s="185" t="n">
        <f aca="false">X$3*$E87</f>
        <v>15.7789249947358</v>
      </c>
      <c r="Y87" s="185" t="n">
        <f aca="false">Y$3*$E87</f>
        <v>16.0120841270074</v>
      </c>
      <c r="Z87" s="185" t="n">
        <f aca="false">Z$3*$E87</f>
        <v>16.1606250517235</v>
      </c>
      <c r="AA87" s="185" t="n">
        <f aca="false">AA$3*$E87</f>
        <v>16.2535040852059</v>
      </c>
      <c r="AB87" s="185" t="n">
        <f aca="false">AB$3*$E87</f>
        <v>16.3109015769578</v>
      </c>
      <c r="AC87" s="185" t="n">
        <f aca="false">AC$3*$E87</f>
        <v>16.3461152759954</v>
      </c>
      <c r="AD87" s="219" t="n">
        <f aca="false">Algae_electricity_factor/H87</f>
        <v>0.00167594623541604</v>
      </c>
      <c r="AE87" s="220" t="n">
        <f aca="false">Algae_electricity_factor/I87</f>
        <v>0.00167594623541604</v>
      </c>
      <c r="AF87" s="220" t="n">
        <f aca="false">Algae_electricity_factor/J87</f>
        <v>0.00167594623541604</v>
      </c>
      <c r="AG87" s="220" t="n">
        <f aca="false">Algae_electricity_factor/K87</f>
        <v>0.00167594623541604</v>
      </c>
      <c r="AH87" s="220" t="n">
        <f aca="false">Algae_electricity_factor/L87</f>
        <v>0.00167594623541604</v>
      </c>
      <c r="AI87" s="220" t="n">
        <f aca="false">Algae_electricity_factor/M87</f>
        <v>0.00160006190254948</v>
      </c>
      <c r="AJ87" s="220" t="n">
        <f aca="false">Algae_electricity_factor/N87</f>
        <v>0.00155777617025968</v>
      </c>
      <c r="AK87" s="220" t="n">
        <f aca="false">Algae_electricity_factor/O87</f>
        <v>0.00149744626505087</v>
      </c>
      <c r="AL87" s="220" t="n">
        <f aca="false">Algae_electricity_factor/P87</f>
        <v>0.00141737995473997</v>
      </c>
      <c r="AM87" s="220" t="n">
        <f aca="false">Algae_electricity_factor/Q87</f>
        <v>0.00132074357979948</v>
      </c>
      <c r="AN87" s="220" t="n">
        <f aca="false">Algae_electricity_factor/R87</f>
        <v>0.00121662196505476</v>
      </c>
      <c r="AO87" s="220" t="n">
        <f aca="false">Algae_electricity_factor/S87</f>
        <v>0.00111729749027736</v>
      </c>
      <c r="AP87" s="220" t="n">
        <f aca="false">Algae_electricity_factor/T87</f>
        <v>0.00103296656081639</v>
      </c>
      <c r="AQ87" s="220" t="n">
        <f aca="false">Algae_electricity_factor/U87</f>
        <v>0.000968162635340984</v>
      </c>
      <c r="AR87" s="220" t="n">
        <f aca="false">Algae_electricity_factor/V87</f>
        <v>0.000922078438802575</v>
      </c>
      <c r="AS87" s="220" t="n">
        <f aca="false">Algae_electricity_factor/W87</f>
        <v>0.000891082964259982</v>
      </c>
      <c r="AT87" s="220" t="n">
        <f aca="false">Algae_electricity_factor/X87</f>
        <v>0.000871009723926974</v>
      </c>
      <c r="AU87" s="220" t="n">
        <f aca="false">Algae_electricity_factor/Y87</f>
        <v>0.000858326561022005</v>
      </c>
      <c r="AV87" s="220" t="n">
        <f aca="false">Algae_electricity_factor/Z87</f>
        <v>0.000850437223779505</v>
      </c>
      <c r="AW87" s="220" t="n">
        <f aca="false">Algae_electricity_factor/AA87</f>
        <v>0.000845577484798422</v>
      </c>
      <c r="AX87" s="220" t="n">
        <f aca="false">Algae_electricity_factor/AB87</f>
        <v>0.000842601927225448</v>
      </c>
      <c r="AY87" s="220" t="n">
        <f aca="false">Algae_electricity_factor/AC87</f>
        <v>0.00084078674788939</v>
      </c>
      <c r="AZ87" s="211" t="n">
        <f aca="false">Algae_yield_cost_factor/H87</f>
        <v>0.092780027960029</v>
      </c>
      <c r="BA87" s="18" t="n">
        <f aca="false">Algae_yield_cost_factor/I87</f>
        <v>0.092780027960029</v>
      </c>
      <c r="BB87" s="18" t="n">
        <f aca="false">Algae_yield_cost_factor/J87</f>
        <v>0.092780027960029</v>
      </c>
      <c r="BC87" s="18" t="n">
        <f aca="false">Algae_yield_cost_factor/K87</f>
        <v>0.092780027960029</v>
      </c>
      <c r="BD87" s="18" t="n">
        <f aca="false">Algae_yield_cost_factor/L87</f>
        <v>0.092780027960029</v>
      </c>
      <c r="BE87" s="18" t="n">
        <f aca="false">Algae_yield_cost_factor/M87</f>
        <v>0.0885790873950469</v>
      </c>
      <c r="BF87" s="18" t="n">
        <f aca="false">Algae_yield_cost_factor/N87</f>
        <v>0.0862381582284358</v>
      </c>
      <c r="BG87" s="18" t="n">
        <f aca="false">Algae_yield_cost_factor/O87</f>
        <v>0.0828983074779673</v>
      </c>
      <c r="BH87" s="18" t="n">
        <f aca="false">Algae_yield_cost_factor/P87</f>
        <v>0.0784658535290747</v>
      </c>
      <c r="BI87" s="18" t="n">
        <f aca="false">Algae_yield_cost_factor/Q87</f>
        <v>0.0731160843184237</v>
      </c>
      <c r="BJ87" s="18" t="n">
        <f aca="false">Algae_yield_cost_factor/R87</f>
        <v>0.0673519338205646</v>
      </c>
      <c r="BK87" s="18" t="n">
        <f aca="false">Algae_yield_cost_factor/S87</f>
        <v>0.0618533519733527</v>
      </c>
      <c r="BL87" s="18" t="n">
        <f aca="false">Algae_yield_cost_factor/T87</f>
        <v>0.0571848096132562</v>
      </c>
      <c r="BM87" s="18" t="n">
        <f aca="false">Algae_yield_cost_factor/U87</f>
        <v>0.0535972780502073</v>
      </c>
      <c r="BN87" s="18" t="n">
        <f aca="false">Algae_yield_cost_factor/V87</f>
        <v>0.0510460667088198</v>
      </c>
      <c r="BO87" s="18" t="n">
        <f aca="false">Algae_yield_cost_factor/W87</f>
        <v>0.0493301638153226</v>
      </c>
      <c r="BP87" s="18" t="n">
        <f aca="false">Algae_yield_cost_factor/X87</f>
        <v>0.0482189134899907</v>
      </c>
      <c r="BQ87" s="18" t="n">
        <f aca="false">Algae_yield_cost_factor/Y87</f>
        <v>0.0475167762829147</v>
      </c>
      <c r="BR87" s="18" t="n">
        <f aca="false">Algae_yield_cost_factor/Z87</f>
        <v>0.0470800242472722</v>
      </c>
      <c r="BS87" s="18" t="n">
        <f aca="false">Algae_yield_cost_factor/AA87</f>
        <v>0.0468109901285069</v>
      </c>
      <c r="BT87" s="18" t="n">
        <f aca="false">Algae_yield_cost_factor/AB87</f>
        <v>0.0466462638926747</v>
      </c>
      <c r="BU87" s="18" t="n">
        <f aca="false">Algae_yield_cost_factor/AC87</f>
        <v>0.0465457759498081</v>
      </c>
    </row>
    <row r="88" customFormat="false" ht="15" hidden="false" customHeight="false" outlineLevel="0" collapsed="false">
      <c r="A88" s="18" t="s">
        <v>703</v>
      </c>
      <c r="B88" s="18" t="s">
        <v>22</v>
      </c>
      <c r="C88" s="18" t="s">
        <v>693</v>
      </c>
      <c r="D88" s="18" t="s">
        <v>693</v>
      </c>
      <c r="E88" s="185" t="n">
        <v>7.48275</v>
      </c>
      <c r="F88" s="18" t="n">
        <f aca="false">E88/$B$2*$F$3/1000</f>
        <v>0.0183327375</v>
      </c>
      <c r="G88" s="18" t="n">
        <f aca="false">LOOKUP(RIGHT(D88,5),Ref!$C$4:$C$21,Ref!$E$4:$E$21)*$G$3</f>
        <v>3</v>
      </c>
      <c r="H88" s="222" t="n">
        <f aca="false">$E88</f>
        <v>7.48275</v>
      </c>
      <c r="I88" s="185" t="n">
        <f aca="false">$E88</f>
        <v>7.48275</v>
      </c>
      <c r="J88" s="185" t="n">
        <f aca="false">$E88</f>
        <v>7.48275</v>
      </c>
      <c r="K88" s="185" t="n">
        <f aca="false">$E88</f>
        <v>7.48275</v>
      </c>
      <c r="L88" s="185" t="n">
        <f aca="false">$E88</f>
        <v>7.48275</v>
      </c>
      <c r="M88" s="185" t="n">
        <f aca="false">M$3*$E88</f>
        <v>7.83762595251944</v>
      </c>
      <c r="N88" s="185" t="n">
        <f aca="false">N$3*$E88</f>
        <v>8.05037779655396</v>
      </c>
      <c r="O88" s="185" t="n">
        <f aca="false">O$3*$E88</f>
        <v>8.374715664761</v>
      </c>
      <c r="P88" s="185" t="n">
        <f aca="false">P$3*$E88</f>
        <v>8.84779458826201</v>
      </c>
      <c r="Q88" s="185" t="n">
        <f aca="false">Q$3*$E88</f>
        <v>9.49517142075633</v>
      </c>
      <c r="R88" s="185" t="n">
        <f aca="false">R$3*$E88</f>
        <v>10.3077924394493</v>
      </c>
      <c r="S88" s="185" t="n">
        <f aca="false">S$3*$E88</f>
        <v>11.224125</v>
      </c>
      <c r="T88" s="185" t="n">
        <f aca="false">T$3*$E88</f>
        <v>12.1404575605507</v>
      </c>
      <c r="U88" s="185" t="n">
        <f aca="false">U$3*$E88</f>
        <v>12.9530785792437</v>
      </c>
      <c r="V88" s="185" t="n">
        <f aca="false">V$3*$E88</f>
        <v>13.600455411738</v>
      </c>
      <c r="W88" s="185" t="n">
        <f aca="false">W$3*$E88</f>
        <v>14.073534335239</v>
      </c>
      <c r="X88" s="185" t="n">
        <f aca="false">X$3*$E88</f>
        <v>14.397872203446</v>
      </c>
      <c r="Y88" s="185" t="n">
        <f aca="false">Y$3*$E88</f>
        <v>14.6106240474806</v>
      </c>
      <c r="Z88" s="185" t="n">
        <f aca="false">Z$3*$E88</f>
        <v>14.7461639053453</v>
      </c>
      <c r="AA88" s="185" t="n">
        <f aca="false">AA$3*$E88</f>
        <v>14.8309136874062</v>
      </c>
      <c r="AB88" s="185" t="n">
        <f aca="false">AB$3*$E88</f>
        <v>14.8832874550309</v>
      </c>
      <c r="AC88" s="185" t="n">
        <f aca="false">AC$3*$E88</f>
        <v>14.9154190697463</v>
      </c>
      <c r="AD88" s="219" t="n">
        <f aca="false">Algae_electricity_factor/H88</f>
        <v>0.00183670403307999</v>
      </c>
      <c r="AE88" s="220" t="n">
        <f aca="false">Algae_electricity_factor/I88</f>
        <v>0.00183670403307999</v>
      </c>
      <c r="AF88" s="220" t="n">
        <f aca="false">Algae_electricity_factor/J88</f>
        <v>0.00183670403307999</v>
      </c>
      <c r="AG88" s="220" t="n">
        <f aca="false">Algae_electricity_factor/K88</f>
        <v>0.00183670403307999</v>
      </c>
      <c r="AH88" s="220" t="n">
        <f aca="false">Algae_electricity_factor/L88</f>
        <v>0.00183670403307999</v>
      </c>
      <c r="AI88" s="220" t="n">
        <f aca="false">Algae_electricity_factor/M88</f>
        <v>0.00175354082815235</v>
      </c>
      <c r="AJ88" s="220" t="n">
        <f aca="false">Algae_electricity_factor/N88</f>
        <v>0.00170719902231326</v>
      </c>
      <c r="AK88" s="220" t="n">
        <f aca="false">Algae_electricity_factor/O88</f>
        <v>0.00164108223534792</v>
      </c>
      <c r="AL88" s="220" t="n">
        <f aca="false">Algae_electricity_factor/P88</f>
        <v>0.00155333591511746</v>
      </c>
      <c r="AM88" s="220" t="n">
        <f aca="false">Algae_electricity_factor/Q88</f>
        <v>0.00144743011942743</v>
      </c>
      <c r="AN88" s="220" t="n">
        <f aca="false">Algae_electricity_factor/R88</f>
        <v>0.00133332109510962</v>
      </c>
      <c r="AO88" s="220" t="n">
        <f aca="false">Algae_electricity_factor/S88</f>
        <v>0.00122446935538666</v>
      </c>
      <c r="AP88" s="220" t="n">
        <f aca="false">Algae_electricity_factor/T88</f>
        <v>0.00113204935110418</v>
      </c>
      <c r="AQ88" s="220" t="n">
        <f aca="false">Algae_electricity_factor/U88</f>
        <v>0.00106102939308593</v>
      </c>
      <c r="AR88" s="220" t="n">
        <f aca="false">Algae_electricity_factor/V88</f>
        <v>0.00101052477196225</v>
      </c>
      <c r="AS88" s="220" t="n">
        <f aca="false">Algae_electricity_factor/W88</f>
        <v>0.000976556192364302</v>
      </c>
      <c r="AT88" s="220" t="n">
        <f aca="false">Algae_electricity_factor/X88</f>
        <v>0.000954557514424931</v>
      </c>
      <c r="AU88" s="220" t="n">
        <f aca="false">Algae_electricity_factor/Y88</f>
        <v>0.000940657774703277</v>
      </c>
      <c r="AV88" s="220" t="n">
        <f aca="false">Algae_electricity_factor/Z88</f>
        <v>0.000932011687361442</v>
      </c>
      <c r="AW88" s="220" t="n">
        <f aca="false">Algae_electricity_factor/AA88</f>
        <v>0.000926685799216794</v>
      </c>
      <c r="AX88" s="220" t="n">
        <f aca="false">Algae_electricity_factor/AB88</f>
        <v>0.000923424824324251</v>
      </c>
      <c r="AY88" s="220" t="n">
        <f aca="false">Algae_electricity_factor/AC88</f>
        <v>0.00092143553186555</v>
      </c>
      <c r="AZ88" s="211" t="n">
        <f aca="false">Algae_yield_cost_factor/H88</f>
        <v>0.101679545526206</v>
      </c>
      <c r="BA88" s="18" t="n">
        <f aca="false">Algae_yield_cost_factor/I88</f>
        <v>0.101679545526206</v>
      </c>
      <c r="BB88" s="18" t="n">
        <f aca="false">Algae_yield_cost_factor/J88</f>
        <v>0.101679545526206</v>
      </c>
      <c r="BC88" s="18" t="n">
        <f aca="false">Algae_yield_cost_factor/K88</f>
        <v>0.101679545526206</v>
      </c>
      <c r="BD88" s="18" t="n">
        <f aca="false">Algae_yield_cost_factor/L88</f>
        <v>0.101679545526206</v>
      </c>
      <c r="BE88" s="18" t="n">
        <f aca="false">Algae_yield_cost_factor/M88</f>
        <v>0.0970756481484858</v>
      </c>
      <c r="BF88" s="18" t="n">
        <f aca="false">Algae_yield_cost_factor/N88</f>
        <v>0.0945101756108767</v>
      </c>
      <c r="BG88" s="18" t="n">
        <f aca="false">Algae_yield_cost_factor/O88</f>
        <v>0.0908499643143324</v>
      </c>
      <c r="BH88" s="18" t="n">
        <f aca="false">Algae_yield_cost_factor/P88</f>
        <v>0.085992346645976</v>
      </c>
      <c r="BI88" s="18" t="n">
        <f aca="false">Algae_yield_cost_factor/Q88</f>
        <v>0.0801294242695845</v>
      </c>
      <c r="BJ88" s="18" t="n">
        <f aca="false">Algae_yield_cost_factor/R88</f>
        <v>0.0738123728970686</v>
      </c>
      <c r="BK88" s="18" t="n">
        <f aca="false">Algae_yield_cost_factor/S88</f>
        <v>0.0677863636841373</v>
      </c>
      <c r="BL88" s="18" t="n">
        <f aca="false">Algae_yield_cost_factor/T88</f>
        <v>0.0626700118584086</v>
      </c>
      <c r="BM88" s="18" t="n">
        <f aca="false">Algae_yield_cost_factor/U88</f>
        <v>0.0587383620528181</v>
      </c>
      <c r="BN88" s="18" t="n">
        <f aca="false">Algae_yield_cost_factor/V88</f>
        <v>0.0559424369443957</v>
      </c>
      <c r="BO88" s="18" t="n">
        <f aca="false">Algae_yield_cost_factor/W88</f>
        <v>0.0540619435859214</v>
      </c>
      <c r="BP88" s="18" t="n">
        <f aca="false">Algae_yield_cost_factor/X88</f>
        <v>0.0528441014432754</v>
      </c>
      <c r="BQ88" s="18" t="n">
        <f aca="false">Algae_yield_cost_factor/Y88</f>
        <v>0.052074614801783</v>
      </c>
      <c r="BR88" s="18" t="n">
        <f aca="false">Algae_yield_cost_factor/Z88</f>
        <v>0.0515959692412223</v>
      </c>
      <c r="BS88" s="18" t="n">
        <f aca="false">Algae_yield_cost_factor/AA88</f>
        <v>0.0513011292036779</v>
      </c>
      <c r="BT88" s="18" t="n">
        <f aca="false">Algae_yield_cost_factor/AB88</f>
        <v>0.0511206023255993</v>
      </c>
      <c r="BU88" s="18" t="n">
        <f aca="false">Algae_yield_cost_factor/AC88</f>
        <v>0.0510104755172098</v>
      </c>
    </row>
    <row r="89" customFormat="false" ht="15" hidden="false" customHeight="false" outlineLevel="0" collapsed="false">
      <c r="A89" s="18" t="s">
        <v>703</v>
      </c>
      <c r="B89" s="18" t="s">
        <v>22</v>
      </c>
      <c r="C89" s="18" t="s">
        <v>694</v>
      </c>
      <c r="D89" s="18" t="s">
        <v>694</v>
      </c>
      <c r="E89" s="185" t="n">
        <v>8.90175</v>
      </c>
      <c r="F89" s="18" t="n">
        <f aca="false">E89/$B$2*$F$3/1000</f>
        <v>0.0218092875</v>
      </c>
      <c r="G89" s="18" t="n">
        <f aca="false">LOOKUP(RIGHT(D89,5),Ref!$C$4:$C$21,Ref!$E$4:$E$21)*$G$3</f>
        <v>3</v>
      </c>
      <c r="H89" s="222" t="n">
        <f aca="false">$E89</f>
        <v>8.90175</v>
      </c>
      <c r="I89" s="185" t="n">
        <f aca="false">$E89</f>
        <v>8.90175</v>
      </c>
      <c r="J89" s="185" t="n">
        <f aca="false">$E89</f>
        <v>8.90175</v>
      </c>
      <c r="K89" s="185" t="n">
        <f aca="false">$E89</f>
        <v>8.90175</v>
      </c>
      <c r="L89" s="185" t="n">
        <f aca="false">$E89</f>
        <v>8.90175</v>
      </c>
      <c r="M89" s="185" t="n">
        <f aca="false">M$3*$E89</f>
        <v>9.3239232665584</v>
      </c>
      <c r="N89" s="185" t="n">
        <f aca="false">N$3*$E89</f>
        <v>9.5770205540041</v>
      </c>
      <c r="O89" s="185" t="n">
        <f aca="false">O$3*$E89</f>
        <v>9.96286461111039</v>
      </c>
      <c r="P89" s="185" t="n">
        <f aca="false">P$3*$E89</f>
        <v>10.5256564065432</v>
      </c>
      <c r="Q89" s="185" t="n">
        <f aca="false">Q$3*$E89</f>
        <v>11.2957992976804</v>
      </c>
      <c r="R89" s="185" t="n">
        <f aca="false">R$3*$E89</f>
        <v>12.2625226484739</v>
      </c>
      <c r="S89" s="185" t="n">
        <f aca="false">S$3*$E89</f>
        <v>13.352625</v>
      </c>
      <c r="T89" s="185" t="n">
        <f aca="false">T$3*$E89</f>
        <v>14.4427273515261</v>
      </c>
      <c r="U89" s="185" t="n">
        <f aca="false">U$3*$E89</f>
        <v>15.4094507023196</v>
      </c>
      <c r="V89" s="185" t="n">
        <f aca="false">V$3*$E89</f>
        <v>16.1795935934568</v>
      </c>
      <c r="W89" s="185" t="n">
        <f aca="false">W$3*$E89</f>
        <v>16.7423853888896</v>
      </c>
      <c r="X89" s="185" t="n">
        <f aca="false">X$3*$E89</f>
        <v>17.1282294459959</v>
      </c>
      <c r="Y89" s="185" t="n">
        <f aca="false">Y$3*$E89</f>
        <v>17.3813267334416</v>
      </c>
      <c r="Z89" s="185" t="n">
        <f aca="false">Z$3*$E89</f>
        <v>17.5425698499091</v>
      </c>
      <c r="AA89" s="185" t="n">
        <f aca="false">AA$3*$E89</f>
        <v>17.64339125547</v>
      </c>
      <c r="AB89" s="185" t="n">
        <f aca="false">AB$3*$E89</f>
        <v>17.7056969834381</v>
      </c>
      <c r="AC89" s="185" t="n">
        <f aca="false">AC$3*$E89</f>
        <v>17.7439219142847</v>
      </c>
      <c r="AD89" s="219" t="n">
        <f aca="false">Algae_electricity_factor/H89</f>
        <v>0.00154392081371969</v>
      </c>
      <c r="AE89" s="220" t="n">
        <f aca="false">Algae_electricity_factor/I89</f>
        <v>0.00154392081371969</v>
      </c>
      <c r="AF89" s="220" t="n">
        <f aca="false">Algae_electricity_factor/J89</f>
        <v>0.00154392081371969</v>
      </c>
      <c r="AG89" s="220" t="n">
        <f aca="false">Algae_electricity_factor/K89</f>
        <v>0.00154392081371969</v>
      </c>
      <c r="AH89" s="220" t="n">
        <f aca="false">Algae_electricity_factor/L89</f>
        <v>0.00154392081371969</v>
      </c>
      <c r="AI89" s="220" t="n">
        <f aca="false">Algae_electricity_factor/M89</f>
        <v>0.00147401439400758</v>
      </c>
      <c r="AJ89" s="220" t="n">
        <f aca="false">Algae_electricity_factor/N89</f>
        <v>0.00143505978984071</v>
      </c>
      <c r="AK89" s="220" t="n">
        <f aca="false">Algae_electricity_factor/O89</f>
        <v>0.00137948247215993</v>
      </c>
      <c r="AL89" s="220" t="n">
        <f aca="false">Algae_electricity_factor/P89</f>
        <v>0.00130572351715619</v>
      </c>
      <c r="AM89" s="220" t="n">
        <f aca="false">Algae_electricity_factor/Q89</f>
        <v>0.0012166998316225</v>
      </c>
      <c r="AN89" s="220" t="n">
        <f aca="false">Algae_electricity_factor/R89</f>
        <v>0.0011207805683637</v>
      </c>
      <c r="AO89" s="220" t="n">
        <f aca="false">Algae_electricity_factor/S89</f>
        <v>0.00102928054247979</v>
      </c>
      <c r="AP89" s="220" t="n">
        <f aca="false">Algae_electricity_factor/T89</f>
        <v>0.000951592920715008</v>
      </c>
      <c r="AQ89" s="220" t="n">
        <f aca="false">Algae_electricity_factor/U89</f>
        <v>0.000891894031074085</v>
      </c>
      <c r="AR89" s="220" t="n">
        <f aca="false">Algae_electricity_factor/V89</f>
        <v>0.000849440192928415</v>
      </c>
      <c r="AS89" s="220" t="n">
        <f aca="false">Algae_electricity_factor/W89</f>
        <v>0.000820886437881762</v>
      </c>
      <c r="AT89" s="220" t="n">
        <f aca="false">Algae_electricity_factor/X89</f>
        <v>0.000802394500077306</v>
      </c>
      <c r="AU89" s="220" t="n">
        <f aca="false">Algae_electricity_factor/Y89</f>
        <v>0.000790710474194507</v>
      </c>
      <c r="AV89" s="220" t="n">
        <f aca="false">Algae_electricity_factor/Z89</f>
        <v>0.000783442632471574</v>
      </c>
      <c r="AW89" s="220" t="n">
        <f aca="false">Algae_electricity_factor/AA89</f>
        <v>0.000778965727423199</v>
      </c>
      <c r="AX89" s="220" t="n">
        <f aca="false">Algae_electricity_factor/AB89</f>
        <v>0.000776224574292952</v>
      </c>
      <c r="AY89" s="220" t="n">
        <f aca="false">Algae_electricity_factor/AC89</f>
        <v>0.000774552388695138</v>
      </c>
      <c r="AZ89" s="211" t="n">
        <f aca="false">Algae_yield_cost_factor/H89</f>
        <v>0.0854711286304623</v>
      </c>
      <c r="BA89" s="18" t="n">
        <f aca="false">Algae_yield_cost_factor/I89</f>
        <v>0.0854711286304623</v>
      </c>
      <c r="BB89" s="18" t="n">
        <f aca="false">Algae_yield_cost_factor/J89</f>
        <v>0.0854711286304623</v>
      </c>
      <c r="BC89" s="18" t="n">
        <f aca="false">Algae_yield_cost_factor/K89</f>
        <v>0.0854711286304623</v>
      </c>
      <c r="BD89" s="18" t="n">
        <f aca="false">Algae_yield_cost_factor/L89</f>
        <v>0.0854711286304623</v>
      </c>
      <c r="BE89" s="18" t="n">
        <f aca="false">Algae_yield_cost_factor/M89</f>
        <v>0.0816011240692091</v>
      </c>
      <c r="BF89" s="18" t="n">
        <f aca="false">Algae_yield_cost_factor/N89</f>
        <v>0.0794446054486239</v>
      </c>
      <c r="BG89" s="18" t="n">
        <f aca="false">Algae_yield_cost_factor/O89</f>
        <v>0.0763678569352174</v>
      </c>
      <c r="BH89" s="18" t="n">
        <f aca="false">Algae_yield_cost_factor/P89</f>
        <v>0.0722845768377204</v>
      </c>
      <c r="BI89" s="18" t="n">
        <f aca="false">Algae_yield_cost_factor/Q89</f>
        <v>0.0673562444972318</v>
      </c>
      <c r="BJ89" s="18" t="n">
        <f aca="false">Algae_yield_cost_factor/R89</f>
        <v>0.0620461744371096</v>
      </c>
      <c r="BK89" s="18" t="n">
        <f aca="false">Algae_yield_cost_factor/S89</f>
        <v>0.0569807524203082</v>
      </c>
      <c r="BL89" s="18" t="n">
        <f aca="false">Algae_yield_cost_factor/T89</f>
        <v>0.0526799821645752</v>
      </c>
      <c r="BM89" s="18" t="n">
        <f aca="false">Algae_yield_cost_factor/U89</f>
        <v>0.0493750643020445</v>
      </c>
      <c r="BN89" s="18" t="n">
        <f aca="false">Algae_yield_cost_factor/V89</f>
        <v>0.0470248288309239</v>
      </c>
      <c r="BO89" s="18" t="n">
        <f aca="false">Algae_yield_cost_factor/W89</f>
        <v>0.0454440990105938</v>
      </c>
      <c r="BP89" s="18" t="n">
        <f aca="false">Algae_yield_cost_factor/X89</f>
        <v>0.044420389257693</v>
      </c>
      <c r="BQ89" s="18" t="n">
        <f aca="false">Algae_yield_cost_factor/Y89</f>
        <v>0.0437735640641494</v>
      </c>
      <c r="BR89" s="18" t="n">
        <f aca="false">Algae_yield_cost_factor/Z89</f>
        <v>0.04337121788859</v>
      </c>
      <c r="BS89" s="18" t="n">
        <f aca="false">Algae_yield_cost_factor/AA89</f>
        <v>0.0431233773751027</v>
      </c>
      <c r="BT89" s="18" t="n">
        <f aca="false">Algae_yield_cost_factor/AB89</f>
        <v>0.0429716277194797</v>
      </c>
      <c r="BU89" s="18" t="n">
        <f aca="false">Algae_yield_cost_factor/AC89</f>
        <v>0.0428790558796193</v>
      </c>
    </row>
    <row r="90" customFormat="false" ht="15" hidden="false" customHeight="false" outlineLevel="0" collapsed="false">
      <c r="A90" s="18" t="s">
        <v>703</v>
      </c>
      <c r="B90" s="18" t="s">
        <v>22</v>
      </c>
      <c r="C90" s="18" t="s">
        <v>682</v>
      </c>
      <c r="D90" s="18" t="s">
        <v>682</v>
      </c>
      <c r="E90" s="185" t="n">
        <v>8.04375</v>
      </c>
      <c r="F90" s="18" t="n">
        <f aca="false">E90/$B$2*$F$3/1000</f>
        <v>0.0197071875</v>
      </c>
      <c r="G90" s="18" t="n">
        <f aca="false">LOOKUP(RIGHT(D90,5),Ref!$C$4:$C$21,Ref!$E$4:$E$21)*$G$3</f>
        <v>3</v>
      </c>
      <c r="H90" s="222" t="n">
        <f aca="false">$E90</f>
        <v>8.04375</v>
      </c>
      <c r="I90" s="185" t="n">
        <f aca="false">$E90</f>
        <v>8.04375</v>
      </c>
      <c r="J90" s="185" t="n">
        <f aca="false">$E90</f>
        <v>8.04375</v>
      </c>
      <c r="K90" s="185" t="n">
        <f aca="false">$E90</f>
        <v>8.04375</v>
      </c>
      <c r="L90" s="185" t="n">
        <f aca="false">$E90</f>
        <v>8.04375</v>
      </c>
      <c r="M90" s="185" t="n">
        <f aca="false">M$3*$E90</f>
        <v>8.42523186737205</v>
      </c>
      <c r="N90" s="185" t="n">
        <f aca="false">N$3*$E90</f>
        <v>8.65393423554588</v>
      </c>
      <c r="O90" s="185" t="n">
        <f aca="false">O$3*$E90</f>
        <v>9.00258850401541</v>
      </c>
      <c r="P90" s="185" t="n">
        <f aca="false">P$3*$E90</f>
        <v>9.51113530711738</v>
      </c>
      <c r="Q90" s="185" t="n">
        <f aca="false">Q$3*$E90</f>
        <v>10.2070475581449</v>
      </c>
      <c r="R90" s="185" t="n">
        <f aca="false">R$3*$E90</f>
        <v>11.0805927546451</v>
      </c>
      <c r="S90" s="185" t="n">
        <f aca="false">S$3*$E90</f>
        <v>12.065625</v>
      </c>
      <c r="T90" s="185" t="n">
        <f aca="false">T$3*$E90</f>
        <v>13.0506572453549</v>
      </c>
      <c r="U90" s="185" t="n">
        <f aca="false">U$3*$E90</f>
        <v>13.9242024418551</v>
      </c>
      <c r="V90" s="185" t="n">
        <f aca="false">V$3*$E90</f>
        <v>14.6201146928826</v>
      </c>
      <c r="W90" s="185" t="n">
        <f aca="false">W$3*$E90</f>
        <v>15.1286614959846</v>
      </c>
      <c r="X90" s="185" t="n">
        <f aca="false">X$3*$E90</f>
        <v>15.4773157644541</v>
      </c>
      <c r="Y90" s="185" t="n">
        <f aca="false">Y$3*$E90</f>
        <v>15.7060181326279</v>
      </c>
      <c r="Z90" s="185" t="n">
        <f aca="false">Z$3*$E90</f>
        <v>15.8517197438938</v>
      </c>
      <c r="AA90" s="185" t="n">
        <f aca="false">AA$3*$E90</f>
        <v>15.9428234236174</v>
      </c>
      <c r="AB90" s="185" t="n">
        <f aca="false">AB$3*$E90</f>
        <v>15.9991237802152</v>
      </c>
      <c r="AC90" s="185" t="n">
        <f aca="false">AC$3*$E90</f>
        <v>16.0336643803778</v>
      </c>
      <c r="AD90" s="219" t="n">
        <f aca="false">Algae_electricity_factor/H90</f>
        <v>0.00170860570051646</v>
      </c>
      <c r="AE90" s="220" t="n">
        <f aca="false">Algae_electricity_factor/I90</f>
        <v>0.00170860570051646</v>
      </c>
      <c r="AF90" s="220" t="n">
        <f aca="false">Algae_electricity_factor/J90</f>
        <v>0.00170860570051646</v>
      </c>
      <c r="AG90" s="220" t="n">
        <f aca="false">Algae_electricity_factor/K90</f>
        <v>0.00170860570051646</v>
      </c>
      <c r="AH90" s="220" t="n">
        <f aca="false">Algae_electricity_factor/L90</f>
        <v>0.00170860570051646</v>
      </c>
      <c r="AI90" s="220" t="n">
        <f aca="false">Algae_electricity_factor/M90</f>
        <v>0.00163124259603506</v>
      </c>
      <c r="AJ90" s="220" t="n">
        <f aca="false">Algae_electricity_factor/N90</f>
        <v>0.00158813283409038</v>
      </c>
      <c r="AK90" s="220" t="n">
        <f aca="false">Algae_electricity_factor/O90</f>
        <v>0.00152662726919033</v>
      </c>
      <c r="AL90" s="220" t="n">
        <f aca="false">Algae_electricity_factor/P90</f>
        <v>0.00144500069231952</v>
      </c>
      <c r="AM90" s="220" t="n">
        <f aca="false">Algae_electricity_factor/Q90</f>
        <v>0.00134648114699557</v>
      </c>
      <c r="AN90" s="220" t="n">
        <f aca="false">Algae_electricity_factor/R90</f>
        <v>0.00124033049565582</v>
      </c>
      <c r="AO90" s="220" t="n">
        <f aca="false">Algae_electricity_factor/S90</f>
        <v>0.00113907046701097</v>
      </c>
      <c r="AP90" s="220" t="n">
        <f aca="false">Algae_electricity_factor/T90</f>
        <v>0.00105309616559128</v>
      </c>
      <c r="AQ90" s="220" t="n">
        <f aca="false">Algae_electricity_factor/U90</f>
        <v>0.000987029394388654</v>
      </c>
      <c r="AR90" s="220" t="n">
        <f aca="false">Algae_electricity_factor/V90</f>
        <v>0.000940047146840779</v>
      </c>
      <c r="AS90" s="220" t="n">
        <f aca="false">Algae_electricity_factor/W90</f>
        <v>0.000908447657922484</v>
      </c>
      <c r="AT90" s="220" t="n">
        <f aca="false">Algae_electricity_factor/X90</f>
        <v>0.000887983246752218</v>
      </c>
      <c r="AU90" s="220" t="n">
        <f aca="false">Algae_electricity_factor/Y90</f>
        <v>0.000875052924775254</v>
      </c>
      <c r="AV90" s="220" t="n">
        <f aca="false">Algae_electricity_factor/Z90</f>
        <v>0.000867009846601875</v>
      </c>
      <c r="AW90" s="220" t="n">
        <f aca="false">Algae_electricity_factor/AA90</f>
        <v>0.000862055405015007</v>
      </c>
      <c r="AX90" s="220" t="n">
        <f aca="false">Algae_electricity_factor/AB90</f>
        <v>0.000859021862217534</v>
      </c>
      <c r="AY90" s="220" t="n">
        <f aca="false">Algae_electricity_factor/AC90</f>
        <v>0.000857171310155953</v>
      </c>
      <c r="AZ90" s="211" t="n">
        <f aca="false">Algae_yield_cost_factor/H90</f>
        <v>0.0945880490177116</v>
      </c>
      <c r="BA90" s="18" t="n">
        <f aca="false">Algae_yield_cost_factor/I90</f>
        <v>0.0945880490177116</v>
      </c>
      <c r="BB90" s="18" t="n">
        <f aca="false">Algae_yield_cost_factor/J90</f>
        <v>0.0945880490177116</v>
      </c>
      <c r="BC90" s="18" t="n">
        <f aca="false">Algae_yield_cost_factor/K90</f>
        <v>0.0945880490177116</v>
      </c>
      <c r="BD90" s="18" t="n">
        <f aca="false">Algae_yield_cost_factor/L90</f>
        <v>0.0945880490177116</v>
      </c>
      <c r="BE90" s="18" t="n">
        <f aca="false">Algae_yield_cost_factor/M90</f>
        <v>0.0903052439699247</v>
      </c>
      <c r="BF90" s="18" t="n">
        <f aca="false">Algae_yield_cost_factor/N90</f>
        <v>0.0879186966964772</v>
      </c>
      <c r="BG90" s="18" t="n">
        <f aca="false">Algae_yield_cost_factor/O90</f>
        <v>0.0845137616749739</v>
      </c>
      <c r="BH90" s="18" t="n">
        <f aca="false">Algae_yield_cost_factor/P90</f>
        <v>0.0799949317004105</v>
      </c>
      <c r="BI90" s="18" t="n">
        <f aca="false">Algae_yield_cost_factor/Q90</f>
        <v>0.0745409105769366</v>
      </c>
      <c r="BJ90" s="18" t="n">
        <f aca="false">Algae_yield_cost_factor/R90</f>
        <v>0.0686644330437346</v>
      </c>
      <c r="BK90" s="18" t="n">
        <f aca="false">Algae_yield_cost_factor/S90</f>
        <v>0.0630586993451411</v>
      </c>
      <c r="BL90" s="18" t="n">
        <f aca="false">Algae_yield_cost_factor/T90</f>
        <v>0.0582991802621299</v>
      </c>
      <c r="BM90" s="18" t="n">
        <f aca="false">Algae_yield_cost_factor/U90</f>
        <v>0.054641737827596</v>
      </c>
      <c r="BN90" s="18" t="n">
        <f aca="false">Algae_yield_cost_factor/V90</f>
        <v>0.0520408105728891</v>
      </c>
      <c r="BO90" s="18" t="n">
        <f aca="false">Algae_yield_cost_factor/W90</f>
        <v>0.0502914695717238</v>
      </c>
      <c r="BP90" s="18" t="n">
        <f aca="false">Algae_yield_cost_factor/X90</f>
        <v>0.049158564111847</v>
      </c>
      <c r="BQ90" s="18" t="n">
        <f aca="false">Algae_yield_cost_factor/Y90</f>
        <v>0.048442744230992</v>
      </c>
      <c r="BR90" s="18" t="n">
        <f aca="false">Algae_yield_cost_factor/Z90</f>
        <v>0.0479974811300396</v>
      </c>
      <c r="BS90" s="18" t="n">
        <f aca="false">Algae_yield_cost_factor/AA90</f>
        <v>0.0477232042951137</v>
      </c>
      <c r="BT90" s="18" t="n">
        <f aca="false">Algae_yield_cost_factor/AB90</f>
        <v>0.0475552680095576</v>
      </c>
      <c r="BU90" s="18" t="n">
        <f aca="false">Algae_yield_cost_factor/AC90</f>
        <v>0.0474528218401121</v>
      </c>
    </row>
    <row r="91" customFormat="false" ht="15" hidden="false" customHeight="false" outlineLevel="0" collapsed="false">
      <c r="A91" s="18" t="s">
        <v>703</v>
      </c>
      <c r="B91" s="18" t="s">
        <v>22</v>
      </c>
      <c r="C91" s="18" t="s">
        <v>683</v>
      </c>
      <c r="D91" s="18" t="s">
        <v>683</v>
      </c>
      <c r="E91" s="185" t="n">
        <v>8.1015</v>
      </c>
      <c r="F91" s="18" t="n">
        <f aca="false">E91/$B$2*$F$3/1000</f>
        <v>0.019848675</v>
      </c>
      <c r="G91" s="18" t="n">
        <f aca="false">LOOKUP(RIGHT(D91,5),Ref!$C$4:$C$21,Ref!$E$4:$E$21)*$G$3</f>
        <v>3</v>
      </c>
      <c r="H91" s="222" t="n">
        <f aca="false">$E91</f>
        <v>8.1015</v>
      </c>
      <c r="I91" s="185" t="n">
        <f aca="false">$E91</f>
        <v>8.1015</v>
      </c>
      <c r="J91" s="185" t="n">
        <f aca="false">$E91</f>
        <v>8.1015</v>
      </c>
      <c r="K91" s="185" t="n">
        <f aca="false">$E91</f>
        <v>8.1015</v>
      </c>
      <c r="L91" s="185" t="n">
        <f aca="false">$E91</f>
        <v>8.1015</v>
      </c>
      <c r="M91" s="185" t="n">
        <f aca="false">M$3*$E91</f>
        <v>8.48572071154806</v>
      </c>
      <c r="N91" s="185" t="n">
        <f aca="false">N$3*$E91</f>
        <v>8.7160650454421</v>
      </c>
      <c r="O91" s="185" t="n">
        <f aca="false">O$3*$E91</f>
        <v>9.06722247276219</v>
      </c>
      <c r="P91" s="185" t="n">
        <f aca="false">P$3*$E91</f>
        <v>9.5794203811172</v>
      </c>
      <c r="Q91" s="185" t="n">
        <f aca="false">Q$3*$E91</f>
        <v>10.280328925229</v>
      </c>
      <c r="R91" s="185" t="n">
        <f aca="false">R$3*$E91</f>
        <v>11.1601457282682</v>
      </c>
      <c r="S91" s="185" t="n">
        <f aca="false">S$3*$E91</f>
        <v>12.15225</v>
      </c>
      <c r="T91" s="185" t="n">
        <f aca="false">T$3*$E91</f>
        <v>13.1443542717318</v>
      </c>
      <c r="U91" s="185" t="n">
        <f aca="false">U$3*$E91</f>
        <v>14.024171074771</v>
      </c>
      <c r="V91" s="185" t="n">
        <f aca="false">V$3*$E91</f>
        <v>14.7250796188828</v>
      </c>
      <c r="W91" s="185" t="n">
        <f aca="false">W$3*$E91</f>
        <v>15.2372775272378</v>
      </c>
      <c r="X91" s="185" t="n">
        <f aca="false">X$3*$E91</f>
        <v>15.5884349545579</v>
      </c>
      <c r="Y91" s="185" t="n">
        <f aca="false">Y$3*$E91</f>
        <v>15.8187792884519</v>
      </c>
      <c r="Z91" s="185" t="n">
        <f aca="false">Z$3*$E91</f>
        <v>15.9655269625679</v>
      </c>
      <c r="AA91" s="185" t="n">
        <f aca="false">AA$3*$E91</f>
        <v>16.0572847199921</v>
      </c>
      <c r="AB91" s="185" t="n">
        <f aca="false">AB$3*$E91</f>
        <v>16.1139892842783</v>
      </c>
      <c r="AC91" s="185" t="n">
        <f aca="false">AC$3*$E91</f>
        <v>16.1487778682369</v>
      </c>
      <c r="AD91" s="219" t="n">
        <f aca="false">Algae_electricity_factor/H91</f>
        <v>0.00169642623014618</v>
      </c>
      <c r="AE91" s="220" t="n">
        <f aca="false">Algae_electricity_factor/I91</f>
        <v>0.00169642623014618</v>
      </c>
      <c r="AF91" s="220" t="n">
        <f aca="false">Algae_electricity_factor/J91</f>
        <v>0.00169642623014618</v>
      </c>
      <c r="AG91" s="220" t="n">
        <f aca="false">Algae_electricity_factor/K91</f>
        <v>0.00169642623014618</v>
      </c>
      <c r="AH91" s="220" t="n">
        <f aca="false">Algae_electricity_factor/L91</f>
        <v>0.00169642623014618</v>
      </c>
      <c r="AI91" s="220" t="n">
        <f aca="false">Algae_electricity_factor/M91</f>
        <v>0.00161961459382299</v>
      </c>
      <c r="AJ91" s="220" t="n">
        <f aca="false">Algae_electricity_factor/N91</f>
        <v>0.00157681213160705</v>
      </c>
      <c r="AK91" s="220" t="n">
        <f aca="false">Algae_electricity_factor/O91</f>
        <v>0.00151574499741402</v>
      </c>
      <c r="AL91" s="220" t="n">
        <f aca="false">Algae_electricity_factor/P91</f>
        <v>0.00143470028005248</v>
      </c>
      <c r="AM91" s="220" t="n">
        <f aca="false">Algae_electricity_factor/Q91</f>
        <v>0.00133688301254652</v>
      </c>
      <c r="AN91" s="220" t="n">
        <f aca="false">Algae_electricity_factor/R91</f>
        <v>0.00123148903591082</v>
      </c>
      <c r="AO91" s="220" t="n">
        <f aca="false">Algae_electricity_factor/S91</f>
        <v>0.00113095082009745</v>
      </c>
      <c r="AP91" s="220" t="n">
        <f aca="false">Algae_electricity_factor/T91</f>
        <v>0.00104558937011354</v>
      </c>
      <c r="AQ91" s="220" t="n">
        <f aca="false">Algae_electricity_factor/U91</f>
        <v>0.000979993543308491</v>
      </c>
      <c r="AR91" s="220" t="n">
        <f aca="false">Algae_electricity_factor/V91</f>
        <v>0.000933346199765539</v>
      </c>
      <c r="AS91" s="220" t="n">
        <f aca="false">Algae_electricity_factor/W91</f>
        <v>0.00090197196178658</v>
      </c>
      <c r="AT91" s="220" t="n">
        <f aca="false">Algae_electricity_factor/X91</f>
        <v>0.000881653427274351</v>
      </c>
      <c r="AU91" s="220" t="n">
        <f aca="false">Algae_electricity_factor/Y91</f>
        <v>0.000868815276635308</v>
      </c>
      <c r="AV91" s="220" t="n">
        <f aca="false">Algae_electricity_factor/Z91</f>
        <v>0.000860829532013063</v>
      </c>
      <c r="AW91" s="220" t="n">
        <f aca="false">Algae_electricity_factor/AA91</f>
        <v>0.000855910407219584</v>
      </c>
      <c r="AX91" s="220" t="n">
        <f aca="false">Algae_electricity_factor/AB91</f>
        <v>0.000852898488454272</v>
      </c>
      <c r="AY91" s="220" t="n">
        <f aca="false">Algae_electricity_factor/AC91</f>
        <v>0.000851061127700666</v>
      </c>
      <c r="AZ91" s="211" t="n">
        <f aca="false">Algae_yield_cost_factor/H91</f>
        <v>0.0939137961224733</v>
      </c>
      <c r="BA91" s="18" t="n">
        <f aca="false">Algae_yield_cost_factor/I91</f>
        <v>0.0939137961224733</v>
      </c>
      <c r="BB91" s="18" t="n">
        <f aca="false">Algae_yield_cost_factor/J91</f>
        <v>0.0939137961224733</v>
      </c>
      <c r="BC91" s="18" t="n">
        <f aca="false">Algae_yield_cost_factor/K91</f>
        <v>0.0939137961224733</v>
      </c>
      <c r="BD91" s="18" t="n">
        <f aca="false">Algae_yield_cost_factor/L91</f>
        <v>0.0939137961224733</v>
      </c>
      <c r="BE91" s="18" t="n">
        <f aca="false">Algae_yield_cost_factor/M91</f>
        <v>0.0896615202349049</v>
      </c>
      <c r="BF91" s="18" t="n">
        <f aca="false">Algae_yield_cost_factor/N91</f>
        <v>0.0872919850092314</v>
      </c>
      <c r="BG91" s="18" t="n">
        <f aca="false">Algae_yield_cost_factor/O91</f>
        <v>0.0839113214186349</v>
      </c>
      <c r="BH91" s="18" t="n">
        <f aca="false">Algae_yield_cost_factor/P91</f>
        <v>0.0794247030630349</v>
      </c>
      <c r="BI91" s="18" t="n">
        <f aca="false">Algae_yield_cost_factor/Q91</f>
        <v>0.0740095598905429</v>
      </c>
      <c r="BJ91" s="18" t="n">
        <f aca="false">Algae_yield_cost_factor/R91</f>
        <v>0.0681749717083923</v>
      </c>
      <c r="BK91" s="18" t="n">
        <f aca="false">Algae_yield_cost_factor/S91</f>
        <v>0.0626091974149822</v>
      </c>
      <c r="BL91" s="18" t="n">
        <f aca="false">Algae_yield_cost_factor/T91</f>
        <v>0.05788360565741</v>
      </c>
      <c r="BM91" s="18" t="n">
        <f aca="false">Algae_yield_cost_factor/U91</f>
        <v>0.0542522346047923</v>
      </c>
      <c r="BN91" s="18" t="n">
        <f aca="false">Algae_yield_cost_factor/V91</f>
        <v>0.0516698475647321</v>
      </c>
      <c r="BO91" s="18" t="n">
        <f aca="false">Algae_yield_cost_factor/W91</f>
        <v>0.0499329764077705</v>
      </c>
      <c r="BP91" s="18" t="n">
        <f aca="false">Algae_yield_cost_factor/X91</f>
        <v>0.0488081466487279</v>
      </c>
      <c r="BQ91" s="18" t="n">
        <f aca="false">Algae_yield_cost_factor/Y91</f>
        <v>0.0480974293535816</v>
      </c>
      <c r="BR91" s="18" t="n">
        <f aca="false">Algae_yield_cost_factor/Z91</f>
        <v>0.047655340225854</v>
      </c>
      <c r="BS91" s="18" t="n">
        <f aca="false">Algae_yield_cost_factor/AA91</f>
        <v>0.0473830185211159</v>
      </c>
      <c r="BT91" s="18" t="n">
        <f aca="false">Algae_yield_cost_factor/AB91</f>
        <v>0.0472162793373917</v>
      </c>
      <c r="BU91" s="18" t="n">
        <f aca="false">Algae_yield_cost_factor/AC91</f>
        <v>0.0471145634359565</v>
      </c>
    </row>
    <row r="92" customFormat="false" ht="15" hidden="false" customHeight="false" outlineLevel="0" collapsed="false">
      <c r="A92" s="18" t="s">
        <v>703</v>
      </c>
      <c r="B92" s="18" t="s">
        <v>22</v>
      </c>
      <c r="C92" s="18" t="s">
        <v>684</v>
      </c>
      <c r="D92" s="18" t="s">
        <v>684</v>
      </c>
      <c r="E92" s="185" t="n">
        <v>8.67075</v>
      </c>
      <c r="F92" s="18" t="n">
        <f aca="false">E92/$B$2*$F$3/1000</f>
        <v>0.0212433375</v>
      </c>
      <c r="G92" s="18" t="n">
        <f aca="false">LOOKUP(RIGHT(D92,5),Ref!$C$4:$C$21,Ref!$E$4:$E$21)*$G$3</f>
        <v>3.5</v>
      </c>
      <c r="H92" s="222" t="n">
        <f aca="false">$E92</f>
        <v>8.67075</v>
      </c>
      <c r="I92" s="185" t="n">
        <f aca="false">$E92</f>
        <v>8.67075</v>
      </c>
      <c r="J92" s="185" t="n">
        <f aca="false">$E92</f>
        <v>8.67075</v>
      </c>
      <c r="K92" s="185" t="n">
        <f aca="false">$E92</f>
        <v>8.67075</v>
      </c>
      <c r="L92" s="185" t="n">
        <f aca="false">$E92</f>
        <v>8.67075</v>
      </c>
      <c r="M92" s="185" t="n">
        <f aca="false">M$3*$E92</f>
        <v>9.08196788985439</v>
      </c>
      <c r="N92" s="185" t="n">
        <f aca="false">N$3*$E92</f>
        <v>9.3284973144192</v>
      </c>
      <c r="O92" s="185" t="n">
        <f aca="false">O$3*$E92</f>
        <v>9.70432873612328</v>
      </c>
      <c r="P92" s="185" t="n">
        <f aca="false">P$3*$E92</f>
        <v>10.252516110544</v>
      </c>
      <c r="Q92" s="185" t="n">
        <f aca="false">Q$3*$E92</f>
        <v>11.0026738293439</v>
      </c>
      <c r="R92" s="185" t="n">
        <f aca="false">R$3*$E92</f>
        <v>11.9443107539815</v>
      </c>
      <c r="S92" s="185" t="n">
        <f aca="false">S$3*$E92</f>
        <v>13.006125</v>
      </c>
      <c r="T92" s="185" t="n">
        <f aca="false">T$3*$E92</f>
        <v>14.0679392460185</v>
      </c>
      <c r="U92" s="185" t="n">
        <f aca="false">U$3*$E92</f>
        <v>15.0095761706561</v>
      </c>
      <c r="V92" s="185" t="n">
        <f aca="false">V$3*$E92</f>
        <v>15.759733889456</v>
      </c>
      <c r="W92" s="185" t="n">
        <f aca="false">W$3*$E92</f>
        <v>16.3079212638767</v>
      </c>
      <c r="X92" s="185" t="n">
        <f aca="false">X$3*$E92</f>
        <v>16.6837526855808</v>
      </c>
      <c r="Y92" s="185" t="n">
        <f aca="false">Y$3*$E92</f>
        <v>16.9302821101456</v>
      </c>
      <c r="Z92" s="185" t="n">
        <f aca="false">Z$3*$E92</f>
        <v>17.0873409752127</v>
      </c>
      <c r="AA92" s="185" t="n">
        <f aca="false">AA$3*$E92</f>
        <v>17.1855460699712</v>
      </c>
      <c r="AB92" s="185" t="n">
        <f aca="false">AB$3*$E92</f>
        <v>17.2462349671858</v>
      </c>
      <c r="AC92" s="185" t="n">
        <f aca="false">AC$3*$E92</f>
        <v>17.2834679628483</v>
      </c>
      <c r="AD92" s="219" t="n">
        <f aca="false">Algae_electricity_factor/H92</f>
        <v>0.00158505286203953</v>
      </c>
      <c r="AE92" s="220" t="n">
        <f aca="false">Algae_electricity_factor/I92</f>
        <v>0.00158505286203953</v>
      </c>
      <c r="AF92" s="220" t="n">
        <f aca="false">Algae_electricity_factor/J92</f>
        <v>0.00158505286203953</v>
      </c>
      <c r="AG92" s="220" t="n">
        <f aca="false">Algae_electricity_factor/K92</f>
        <v>0.00158505286203953</v>
      </c>
      <c r="AH92" s="220" t="n">
        <f aca="false">Algae_electricity_factor/L92</f>
        <v>0.00158505286203953</v>
      </c>
      <c r="AI92" s="220" t="n">
        <f aca="false">Algae_electricity_factor/M92</f>
        <v>0.00151328404484698</v>
      </c>
      <c r="AJ92" s="220" t="n">
        <f aca="false">Algae_electricity_factor/N92</f>
        <v>0.00147329163961762</v>
      </c>
      <c r="AK92" s="220" t="n">
        <f aca="false">Algae_electricity_factor/O92</f>
        <v>0.00141623367027647</v>
      </c>
      <c r="AL92" s="220" t="n">
        <f aca="false">Algae_electricity_factor/P92</f>
        <v>0.00134050968126692</v>
      </c>
      <c r="AM92" s="220" t="n">
        <f aca="false">Algae_electricity_factor/Q92</f>
        <v>0.00124911428955345</v>
      </c>
      <c r="AN92" s="220" t="n">
        <f aca="false">Algae_electricity_factor/R92</f>
        <v>0.00115063961300136</v>
      </c>
      <c r="AO92" s="220" t="n">
        <f aca="false">Algae_electricity_factor/S92</f>
        <v>0.00105670190802635</v>
      </c>
      <c r="AP92" s="220" t="n">
        <f aca="false">Algae_electricity_factor/T92</f>
        <v>0.000976944587489528</v>
      </c>
      <c r="AQ92" s="220" t="n">
        <f aca="false">Algae_electricity_factor/U92</f>
        <v>0.000915655242177867</v>
      </c>
      <c r="AR92" s="220" t="n">
        <f aca="false">Algae_electricity_factor/V92</f>
        <v>0.000872070378848487</v>
      </c>
      <c r="AS92" s="220" t="n">
        <f aca="false">Algae_electricity_factor/W92</f>
        <v>0.00084275591481867</v>
      </c>
      <c r="AT92" s="220" t="n">
        <f aca="false">Algae_electricity_factor/X92</f>
        <v>0.000823771327862429</v>
      </c>
      <c r="AU92" s="220" t="n">
        <f aca="false">Algae_electricity_factor/Y92</f>
        <v>0.000811776024410916</v>
      </c>
      <c r="AV92" s="220" t="n">
        <f aca="false">Algae_electricity_factor/Z92</f>
        <v>0.000804314557979856</v>
      </c>
      <c r="AW92" s="220" t="n">
        <f aca="false">Algae_electricity_factor/AA92</f>
        <v>0.000799718382387851</v>
      </c>
      <c r="AX92" s="220" t="n">
        <f aca="false">Algae_electricity_factor/AB92</f>
        <v>0.000796904201391147</v>
      </c>
      <c r="AY92" s="220" t="n">
        <f aca="false">Algae_electricity_factor/AC92</f>
        <v>0.000795187466605189</v>
      </c>
      <c r="AZ92" s="211" t="n">
        <f aca="false">Algae_yield_cost_factor/H92</f>
        <v>0.0877481900973062</v>
      </c>
      <c r="BA92" s="18" t="n">
        <f aca="false">Algae_yield_cost_factor/I92</f>
        <v>0.0877481900973062</v>
      </c>
      <c r="BB92" s="18" t="n">
        <f aca="false">Algae_yield_cost_factor/J92</f>
        <v>0.0877481900973062</v>
      </c>
      <c r="BC92" s="18" t="n">
        <f aca="false">Algae_yield_cost_factor/K92</f>
        <v>0.0877481900973062</v>
      </c>
      <c r="BD92" s="18" t="n">
        <f aca="false">Algae_yield_cost_factor/L92</f>
        <v>0.0877481900973062</v>
      </c>
      <c r="BE92" s="18" t="n">
        <f aca="false">Algae_yield_cost_factor/M92</f>
        <v>0.0837750836067332</v>
      </c>
      <c r="BF92" s="18" t="n">
        <f aca="false">Algae_yield_cost_factor/N92</f>
        <v>0.0815611125395483</v>
      </c>
      <c r="BG92" s="18" t="n">
        <f aca="false">Algae_yield_cost_factor/O92</f>
        <v>0.0784023954644144</v>
      </c>
      <c r="BH92" s="18" t="n">
        <f aca="false">Algae_yield_cost_factor/P92</f>
        <v>0.0742103315013323</v>
      </c>
      <c r="BI92" s="18" t="n">
        <f aca="false">Algae_yield_cost_factor/Q92</f>
        <v>0.069150702010003</v>
      </c>
      <c r="BJ92" s="18" t="n">
        <f aca="false">Algae_yield_cost_factor/R92</f>
        <v>0.0636991648122181</v>
      </c>
      <c r="BK92" s="18" t="n">
        <f aca="false">Algae_yield_cost_factor/S92</f>
        <v>0.0584987933982041</v>
      </c>
      <c r="BL92" s="18" t="n">
        <f aca="false">Algae_yield_cost_factor/T92</f>
        <v>0.0540834450576371</v>
      </c>
      <c r="BM92" s="18" t="n">
        <f aca="false">Algae_yield_cost_factor/U92</f>
        <v>0.0506904799066661</v>
      </c>
      <c r="BN92" s="18" t="n">
        <f aca="false">Algae_yield_cost_factor/V92</f>
        <v>0.0482776311213767</v>
      </c>
      <c r="BO92" s="18" t="n">
        <f aca="false">Algae_yield_cost_factor/W92</f>
        <v>0.0466547886131595</v>
      </c>
      <c r="BP92" s="18" t="n">
        <f aca="false">Algae_yield_cost_factor/X92</f>
        <v>0.0456038059077553</v>
      </c>
      <c r="BQ92" s="18" t="n">
        <f aca="false">Algae_yield_cost_factor/Y92</f>
        <v>0.0449397484540601</v>
      </c>
      <c r="BR92" s="18" t="n">
        <f aca="false">Algae_yield_cost_factor/Z92</f>
        <v>0.0445266832557456</v>
      </c>
      <c r="BS92" s="18" t="n">
        <f aca="false">Algae_yield_cost_factor/AA92</f>
        <v>0.0442722399502719</v>
      </c>
      <c r="BT92" s="18" t="n">
        <f aca="false">Algae_yield_cost_factor/AB92</f>
        <v>0.0441164474874582</v>
      </c>
      <c r="BU92" s="18" t="n">
        <f aca="false">Algae_yield_cost_factor/AC92</f>
        <v>0.0440214094139955</v>
      </c>
    </row>
    <row r="93" customFormat="false" ht="15" hidden="false" customHeight="false" outlineLevel="0" collapsed="false">
      <c r="A93" s="18" t="s">
        <v>703</v>
      </c>
      <c r="B93" s="18" t="s">
        <v>22</v>
      </c>
      <c r="C93" s="18" t="s">
        <v>685</v>
      </c>
      <c r="D93" s="18" t="s">
        <v>685</v>
      </c>
      <c r="E93" s="185" t="n">
        <v>7.97775</v>
      </c>
      <c r="F93" s="18" t="n">
        <f aca="false">E93/$B$2*$F$3/1000</f>
        <v>0.0195454875</v>
      </c>
      <c r="G93" s="18" t="n">
        <f aca="false">LOOKUP(RIGHT(D93,5),Ref!$C$4:$C$21,Ref!$E$4:$E$21)*$G$3</f>
        <v>4</v>
      </c>
      <c r="H93" s="222" t="n">
        <f aca="false">$E93</f>
        <v>7.97775</v>
      </c>
      <c r="I93" s="185" t="n">
        <f aca="false">$E93</f>
        <v>7.97775</v>
      </c>
      <c r="J93" s="185" t="n">
        <f aca="false">$E93</f>
        <v>7.97775</v>
      </c>
      <c r="K93" s="185" t="n">
        <f aca="false">$E93</f>
        <v>7.97775</v>
      </c>
      <c r="L93" s="185" t="n">
        <f aca="false">$E93</f>
        <v>7.97775</v>
      </c>
      <c r="M93" s="185" t="n">
        <f aca="false">M$3*$E93</f>
        <v>8.35610175974233</v>
      </c>
      <c r="N93" s="185" t="n">
        <f aca="false">N$3*$E93</f>
        <v>8.58292759566447</v>
      </c>
      <c r="O93" s="185" t="n">
        <f aca="false">O$3*$E93</f>
        <v>8.92872111116195</v>
      </c>
      <c r="P93" s="185" t="n">
        <f aca="false">P$3*$E93</f>
        <v>9.43309522254616</v>
      </c>
      <c r="Q93" s="185" t="n">
        <f aca="false">Q$3*$E93</f>
        <v>10.1232974243345</v>
      </c>
      <c r="R93" s="185" t="n">
        <f aca="false">R$3*$E93</f>
        <v>10.9896750705044</v>
      </c>
      <c r="S93" s="185" t="n">
        <f aca="false">S$3*$E93</f>
        <v>11.966625</v>
      </c>
      <c r="T93" s="185" t="n">
        <f aca="false">T$3*$E93</f>
        <v>12.9435749294956</v>
      </c>
      <c r="U93" s="185" t="n">
        <f aca="false">U$3*$E93</f>
        <v>13.8099525756655</v>
      </c>
      <c r="V93" s="185" t="n">
        <f aca="false">V$3*$E93</f>
        <v>14.5001547774538</v>
      </c>
      <c r="W93" s="185" t="n">
        <f aca="false">W$3*$E93</f>
        <v>15.0045288888381</v>
      </c>
      <c r="X93" s="185" t="n">
        <f aca="false">X$3*$E93</f>
        <v>15.3503224043355</v>
      </c>
      <c r="Y93" s="185" t="n">
        <f aca="false">Y$3*$E93</f>
        <v>15.5771482402577</v>
      </c>
      <c r="Z93" s="185" t="n">
        <f aca="false">Z$3*$E93</f>
        <v>15.7216543511234</v>
      </c>
      <c r="AA93" s="185" t="n">
        <f aca="false">AA$3*$E93</f>
        <v>15.8120105134749</v>
      </c>
      <c r="AB93" s="185" t="n">
        <f aca="false">AB$3*$E93</f>
        <v>15.8678489184288</v>
      </c>
      <c r="AC93" s="185" t="n">
        <f aca="false">AC$3*$E93</f>
        <v>15.9021061085388</v>
      </c>
      <c r="AD93" s="219" t="n">
        <f aca="false">Algae_electricity_factor/H93</f>
        <v>0.00172274101137906</v>
      </c>
      <c r="AE93" s="220" t="n">
        <f aca="false">Algae_electricity_factor/I93</f>
        <v>0.00172274101137906</v>
      </c>
      <c r="AF93" s="220" t="n">
        <f aca="false">Algae_electricity_factor/J93</f>
        <v>0.00172274101137906</v>
      </c>
      <c r="AG93" s="220" t="n">
        <f aca="false">Algae_electricity_factor/K93</f>
        <v>0.00172274101137906</v>
      </c>
      <c r="AH93" s="220" t="n">
        <f aca="false">Algae_electricity_factor/L93</f>
        <v>0.00172274101137906</v>
      </c>
      <c r="AI93" s="220" t="n">
        <f aca="false">Algae_electricity_factor/M93</f>
        <v>0.00164473788121425</v>
      </c>
      <c r="AJ93" s="220" t="n">
        <f aca="false">Algae_electricity_factor/N93</f>
        <v>0.00160127147180778</v>
      </c>
      <c r="AK93" s="220" t="n">
        <f aca="false">Algae_electricity_factor/O93</f>
        <v>0.00153925707079686</v>
      </c>
      <c r="AL93" s="220" t="n">
        <f aca="false">Algae_electricity_factor/P93</f>
        <v>0.0014569551964959</v>
      </c>
      <c r="AM93" s="220" t="n">
        <f aca="false">Algae_electricity_factor/Q93</f>
        <v>0.00135762059805655</v>
      </c>
      <c r="AN93" s="220" t="n">
        <f aca="false">Algae_electricity_factor/R93</f>
        <v>0.00125059176139031</v>
      </c>
      <c r="AO93" s="220" t="n">
        <f aca="false">Algae_electricity_factor/S93</f>
        <v>0.00114849400758604</v>
      </c>
      <c r="AP93" s="220" t="n">
        <f aca="false">Algae_electricity_factor/T93</f>
        <v>0.00106180843997052</v>
      </c>
      <c r="AQ93" s="220" t="n">
        <f aca="false">Algae_electricity_factor/U93</f>
        <v>0.000995195097754848</v>
      </c>
      <c r="AR93" s="220" t="n">
        <f aca="false">Algae_electricity_factor/V93</f>
        <v>0.000947824165635739</v>
      </c>
      <c r="AS93" s="220" t="n">
        <f aca="false">Algae_electricity_factor/W93</f>
        <v>0.000915963253851522</v>
      </c>
      <c r="AT93" s="220" t="n">
        <f aca="false">Algae_electricity_factor/X93</f>
        <v>0.00089532954041718</v>
      </c>
      <c r="AU93" s="220" t="n">
        <f aca="false">Algae_electricity_factor/Y93</f>
        <v>0.000882292245766156</v>
      </c>
      <c r="AV93" s="220" t="n">
        <f aca="false">Algae_electricity_factor/Z93</f>
        <v>0.000874182627132191</v>
      </c>
      <c r="AW93" s="220" t="n">
        <f aca="false">Algae_electricity_factor/AA93</f>
        <v>0.000869187197403963</v>
      </c>
      <c r="AX93" s="220" t="n">
        <f aca="false">Algae_electricity_factor/AB93</f>
        <v>0.000866128558078692</v>
      </c>
      <c r="AY93" s="220" t="n">
        <f aca="false">Algae_electricity_factor/AC93</f>
        <v>0.000864262696382683</v>
      </c>
      <c r="AZ93" s="211" t="n">
        <f aca="false">Algae_yield_cost_factor/H93</f>
        <v>0.0953705768275789</v>
      </c>
      <c r="BA93" s="18" t="n">
        <f aca="false">Algae_yield_cost_factor/I93</f>
        <v>0.0953705768275789</v>
      </c>
      <c r="BB93" s="18" t="n">
        <f aca="false">Algae_yield_cost_factor/J93</f>
        <v>0.0953705768275789</v>
      </c>
      <c r="BC93" s="18" t="n">
        <f aca="false">Algae_yield_cost_factor/K93</f>
        <v>0.0953705768275789</v>
      </c>
      <c r="BD93" s="18" t="n">
        <f aca="false">Algae_yield_cost_factor/L93</f>
        <v>0.0953705768275789</v>
      </c>
      <c r="BE93" s="18" t="n">
        <f aca="false">Algae_yield_cost_factor/M93</f>
        <v>0.0910523400937711</v>
      </c>
      <c r="BF93" s="18" t="n">
        <f aca="false">Algae_yield_cost_factor/N93</f>
        <v>0.0886460488925183</v>
      </c>
      <c r="BG93" s="18" t="n">
        <f aca="false">Algae_yield_cost_factor/O93</f>
        <v>0.085212944811892</v>
      </c>
      <c r="BH93" s="18" t="n">
        <f aca="false">Algae_yield_cost_factor/P93</f>
        <v>0.0806567305148917</v>
      </c>
      <c r="BI93" s="18" t="n">
        <f aca="false">Algae_yield_cost_factor/Q93</f>
        <v>0.0751575882239019</v>
      </c>
      <c r="BJ93" s="18" t="n">
        <f aca="false">Algae_yield_cost_factor/R93</f>
        <v>0.0692324945373746</v>
      </c>
      <c r="BK93" s="18" t="n">
        <f aca="false">Algae_yield_cost_factor/S93</f>
        <v>0.0635803845517193</v>
      </c>
      <c r="BL93" s="18" t="n">
        <f aca="false">Algae_yield_cost_factor/T93</f>
        <v>0.0587814899230369</v>
      </c>
      <c r="BM93" s="18" t="n">
        <f aca="false">Algae_yield_cost_factor/U93</f>
        <v>0.0550937894332017</v>
      </c>
      <c r="BN93" s="18" t="n">
        <f aca="false">Algae_yield_cost_factor/V93</f>
        <v>0.0524713446831095</v>
      </c>
      <c r="BO93" s="18" t="n">
        <f aca="false">Algae_yield_cost_factor/W93</f>
        <v>0.0507075313675602</v>
      </c>
      <c r="BP93" s="18" t="n">
        <f aca="false">Algae_yield_cost_factor/X93</f>
        <v>0.0495652533702697</v>
      </c>
      <c r="BQ93" s="18" t="n">
        <f aca="false">Algae_yield_cost_factor/Y93</f>
        <v>0.0488435115048782</v>
      </c>
      <c r="BR93" s="18" t="n">
        <f aca="false">Algae_yield_cost_factor/Z93</f>
        <v>0.0483945647381475</v>
      </c>
      <c r="BS93" s="18" t="n">
        <f aca="false">Algae_yield_cost_factor/AA93</f>
        <v>0.0481180188084135</v>
      </c>
      <c r="BT93" s="18" t="n">
        <f aca="false">Algae_yield_cost_factor/AB93</f>
        <v>0.0479486931844039</v>
      </c>
      <c r="BU93" s="18" t="n">
        <f aca="false">Algae_yield_cost_factor/AC93</f>
        <v>0.0478453994768451</v>
      </c>
    </row>
    <row r="94" customFormat="false" ht="15" hidden="false" customHeight="false" outlineLevel="0" collapsed="false">
      <c r="A94" s="18" t="s">
        <v>703</v>
      </c>
      <c r="B94" s="18" t="s">
        <v>22</v>
      </c>
      <c r="C94" s="18" t="s">
        <v>686</v>
      </c>
      <c r="D94" s="18" t="s">
        <v>686</v>
      </c>
      <c r="E94" s="185" t="n">
        <v>8.8935</v>
      </c>
      <c r="F94" s="18" t="n">
        <f aca="false">E94/$B$2*$F$3/1000</f>
        <v>0.021789075</v>
      </c>
      <c r="G94" s="18" t="n">
        <f aca="false">LOOKUP(RIGHT(D94,5),Ref!$C$4:$C$21,Ref!$E$4:$E$21)*$G$3</f>
        <v>4.5</v>
      </c>
      <c r="H94" s="222" t="n">
        <f aca="false">$E94</f>
        <v>8.8935</v>
      </c>
      <c r="I94" s="185" t="n">
        <f aca="false">$E94</f>
        <v>8.8935</v>
      </c>
      <c r="J94" s="185" t="n">
        <f aca="false">$E94</f>
        <v>8.8935</v>
      </c>
      <c r="K94" s="185" t="n">
        <f aca="false">$E94</f>
        <v>8.8935</v>
      </c>
      <c r="L94" s="185" t="n">
        <f aca="false">$E94</f>
        <v>8.8935</v>
      </c>
      <c r="M94" s="185" t="n">
        <f aca="false">M$3*$E94</f>
        <v>9.31528200310469</v>
      </c>
      <c r="N94" s="185" t="n">
        <f aca="false">N$3*$E94</f>
        <v>9.56814472401893</v>
      </c>
      <c r="O94" s="185" t="n">
        <f aca="false">O$3*$E94</f>
        <v>9.9536311870037</v>
      </c>
      <c r="P94" s="185" t="n">
        <f aca="false">P$3*$E94</f>
        <v>10.5159013959718</v>
      </c>
      <c r="Q94" s="185" t="n">
        <f aca="false">Q$3*$E94</f>
        <v>11.2853305309541</v>
      </c>
      <c r="R94" s="185" t="n">
        <f aca="false">R$3*$E94</f>
        <v>12.2511579379563</v>
      </c>
      <c r="S94" s="185" t="n">
        <f aca="false">S$3*$E94</f>
        <v>13.34025</v>
      </c>
      <c r="T94" s="185" t="n">
        <f aca="false">T$3*$E94</f>
        <v>14.4293420620437</v>
      </c>
      <c r="U94" s="185" t="n">
        <f aca="false">U$3*$E94</f>
        <v>15.395169469046</v>
      </c>
      <c r="V94" s="185" t="n">
        <f aca="false">V$3*$E94</f>
        <v>16.1645986040282</v>
      </c>
      <c r="W94" s="185" t="n">
        <f aca="false">W$3*$E94</f>
        <v>16.7268688129963</v>
      </c>
      <c r="X94" s="185" t="n">
        <f aca="false">X$3*$E94</f>
        <v>17.1123552759811</v>
      </c>
      <c r="Y94" s="185" t="n">
        <f aca="false">Y$3*$E94</f>
        <v>17.3652179968953</v>
      </c>
      <c r="Z94" s="185" t="n">
        <f aca="false">Z$3*$E94</f>
        <v>17.5263116758128</v>
      </c>
      <c r="AA94" s="185" t="n">
        <f aca="false">AA$3*$E94</f>
        <v>17.6270396417021</v>
      </c>
      <c r="AB94" s="185" t="n">
        <f aca="false">AB$3*$E94</f>
        <v>17.6892876257148</v>
      </c>
      <c r="AC94" s="185" t="n">
        <f aca="false">AC$3*$E94</f>
        <v>17.7274771303049</v>
      </c>
      <c r="AD94" s="219" t="n">
        <f aca="false">Algae_electricity_factor/H94</f>
        <v>0.00154535302226674</v>
      </c>
      <c r="AE94" s="220" t="n">
        <f aca="false">Algae_electricity_factor/I94</f>
        <v>0.00154535302226674</v>
      </c>
      <c r="AF94" s="220" t="n">
        <f aca="false">Algae_electricity_factor/J94</f>
        <v>0.00154535302226674</v>
      </c>
      <c r="AG94" s="220" t="n">
        <f aca="false">Algae_electricity_factor/K94</f>
        <v>0.00154535302226674</v>
      </c>
      <c r="AH94" s="220" t="n">
        <f aca="false">Algae_electricity_factor/L94</f>
        <v>0.00154535302226674</v>
      </c>
      <c r="AI94" s="220" t="n">
        <f aca="false">Algae_electricity_factor/M94</f>
        <v>0.00147538175429887</v>
      </c>
      <c r="AJ94" s="220" t="n">
        <f aca="false">Algae_electricity_factor/N94</f>
        <v>0.00143639101413555</v>
      </c>
      <c r="AK94" s="220" t="n">
        <f aca="false">Algae_electricity_factor/O94</f>
        <v>0.00138076214050145</v>
      </c>
      <c r="AL94" s="220" t="n">
        <f aca="false">Algae_electricity_factor/P94</f>
        <v>0.00130693476346153</v>
      </c>
      <c r="AM94" s="220" t="n">
        <f aca="false">Algae_electricity_factor/Q94</f>
        <v>0.00121782849565926</v>
      </c>
      <c r="AN94" s="220" t="n">
        <f aca="false">Algae_electricity_factor/R94</f>
        <v>0.00112182025349205</v>
      </c>
      <c r="AO94" s="220" t="n">
        <f aca="false">Algae_electricity_factor/S94</f>
        <v>0.00103023534817783</v>
      </c>
      <c r="AP94" s="220" t="n">
        <f aca="false">Algae_electricity_factor/T94</f>
        <v>0.000952475659973556</v>
      </c>
      <c r="AQ94" s="220" t="n">
        <f aca="false">Algae_electricity_factor/U94</f>
        <v>0.000892721391028699</v>
      </c>
      <c r="AR94" s="220" t="n">
        <f aca="false">Algae_electricity_factor/V94</f>
        <v>0.000850228170843933</v>
      </c>
      <c r="AS94" s="220" t="n">
        <f aca="false">Algae_electricity_factor/W94</f>
        <v>0.000821647928083879</v>
      </c>
      <c r="AT94" s="220" t="n">
        <f aca="false">Algae_electricity_factor/X94</f>
        <v>0.000803138836348249</v>
      </c>
      <c r="AU94" s="220" t="n">
        <f aca="false">Algae_electricity_factor/Y94</f>
        <v>0.000791443971851459</v>
      </c>
      <c r="AV94" s="220" t="n">
        <f aca="false">Algae_electricity_factor/Z94</f>
        <v>0.000784169388160323</v>
      </c>
      <c r="AW94" s="220" t="n">
        <f aca="false">Algae_electricity_factor/AA94</f>
        <v>0.000779688330138805</v>
      </c>
      <c r="AX94" s="220" t="n">
        <f aca="false">Algae_electricity_factor/AB94</f>
        <v>0.000776944634194894</v>
      </c>
      <c r="AY94" s="220" t="n">
        <f aca="false">Algae_electricity_factor/AC94</f>
        <v>0.000775270897404503</v>
      </c>
      <c r="AZ94" s="211" t="n">
        <f aca="false">Algae_yield_cost_factor/H94</f>
        <v>0.085550415391715</v>
      </c>
      <c r="BA94" s="18" t="n">
        <f aca="false">Algae_yield_cost_factor/I94</f>
        <v>0.085550415391715</v>
      </c>
      <c r="BB94" s="18" t="n">
        <f aca="false">Algae_yield_cost_factor/J94</f>
        <v>0.085550415391715</v>
      </c>
      <c r="BC94" s="18" t="n">
        <f aca="false">Algae_yield_cost_factor/K94</f>
        <v>0.085550415391715</v>
      </c>
      <c r="BD94" s="18" t="n">
        <f aca="false">Algae_yield_cost_factor/L94</f>
        <v>0.085550415391715</v>
      </c>
      <c r="BE94" s="18" t="n">
        <f aca="false">Algae_yield_cost_factor/M94</f>
        <v>0.0816768208447835</v>
      </c>
      <c r="BF94" s="18" t="n">
        <f aca="false">Algae_yield_cost_factor/N94</f>
        <v>0.0795183017431032</v>
      </c>
      <c r="BG94" s="18" t="n">
        <f aca="false">Algae_yield_cost_factor/O94</f>
        <v>0.0764386991030608</v>
      </c>
      <c r="BH94" s="18" t="n">
        <f aca="false">Algae_yield_cost_factor/P94</f>
        <v>0.0723516311761598</v>
      </c>
      <c r="BI94" s="18" t="n">
        <f aca="false">Algae_yield_cost_factor/Q94</f>
        <v>0.0674187270988063</v>
      </c>
      <c r="BJ94" s="18" t="n">
        <f aca="false">Algae_yield_cost_factor/R94</f>
        <v>0.0621037311851959</v>
      </c>
      <c r="BK94" s="18" t="n">
        <f aca="false">Algae_yield_cost_factor/S94</f>
        <v>0.0570336102611434</v>
      </c>
      <c r="BL94" s="18" t="n">
        <f aca="false">Algae_yield_cost_factor/T94</f>
        <v>0.0527288504226128</v>
      </c>
      <c r="BM94" s="18" t="n">
        <f aca="false">Algae_yield_cost_factor/U94</f>
        <v>0.0494208667735678</v>
      </c>
      <c r="BN94" s="18" t="n">
        <f aca="false">Algae_yield_cost_factor/V94</f>
        <v>0.0470684511211196</v>
      </c>
      <c r="BO94" s="18" t="n">
        <f aca="false">Algae_yield_cost_factor/W94</f>
        <v>0.0454862549465962</v>
      </c>
      <c r="BP94" s="18" t="n">
        <f aca="false">Algae_yield_cost_factor/X94</f>
        <v>0.0444615955557057</v>
      </c>
      <c r="BQ94" s="18" t="n">
        <f aca="false">Algae_yield_cost_factor/Y94</f>
        <v>0.0438141703387914</v>
      </c>
      <c r="BR94" s="18" t="n">
        <f aca="false">Algae_yield_cost_factor/Z94</f>
        <v>0.043411450929303</v>
      </c>
      <c r="BS94" s="18" t="n">
        <f aca="false">Algae_yield_cost_factor/AA94</f>
        <v>0.0431633805081037</v>
      </c>
      <c r="BT94" s="18" t="n">
        <f aca="false">Algae_yield_cost_factor/AB94</f>
        <v>0.0430114900828558</v>
      </c>
      <c r="BU94" s="18" t="n">
        <f aca="false">Algae_yield_cost_factor/AC94</f>
        <v>0.0429188323693036</v>
      </c>
    </row>
    <row r="95" customFormat="false" ht="15" hidden="false" customHeight="false" outlineLevel="0" collapsed="false">
      <c r="A95" s="18" t="s">
        <v>703</v>
      </c>
      <c r="B95" s="18" t="s">
        <v>22</v>
      </c>
      <c r="C95" s="18" t="s">
        <v>687</v>
      </c>
      <c r="D95" s="18" t="s">
        <v>687</v>
      </c>
      <c r="E95" s="185" t="n">
        <v>7.89525</v>
      </c>
      <c r="F95" s="18" t="n">
        <f aca="false">E95/$B$2*$F$3/1000</f>
        <v>0.0193433625</v>
      </c>
      <c r="G95" s="18" t="n">
        <f aca="false">LOOKUP(RIGHT(D95,5),Ref!$C$4:$C$21,Ref!$E$4:$E$21)*$G$3</f>
        <v>4.5</v>
      </c>
      <c r="H95" s="222" t="n">
        <f aca="false">$E95</f>
        <v>7.89525</v>
      </c>
      <c r="I95" s="185" t="n">
        <f aca="false">$E95</f>
        <v>7.89525</v>
      </c>
      <c r="J95" s="185" t="n">
        <f aca="false">$E95</f>
        <v>7.89525</v>
      </c>
      <c r="K95" s="185" t="n">
        <f aca="false">$E95</f>
        <v>7.89525</v>
      </c>
      <c r="L95" s="185" t="n">
        <f aca="false">$E95</f>
        <v>7.89525</v>
      </c>
      <c r="M95" s="185" t="n">
        <f aca="false">M$3*$E95</f>
        <v>8.26968912520518</v>
      </c>
      <c r="N95" s="185" t="n">
        <f aca="false">N$3*$E95</f>
        <v>8.49416929581272</v>
      </c>
      <c r="O95" s="185" t="n">
        <f aca="false">O$3*$E95</f>
        <v>8.83638687009512</v>
      </c>
      <c r="P95" s="185" t="n">
        <f aca="false">P$3*$E95</f>
        <v>9.33554511683214</v>
      </c>
      <c r="Q95" s="185" t="n">
        <f aca="false">Q$3*$E95</f>
        <v>10.0186097570715</v>
      </c>
      <c r="R95" s="185" t="n">
        <f aca="false">R$3*$E95</f>
        <v>10.8760279653286</v>
      </c>
      <c r="S95" s="185" t="n">
        <f aca="false">S$3*$E95</f>
        <v>11.842875</v>
      </c>
      <c r="T95" s="185" t="n">
        <f aca="false">T$3*$E95</f>
        <v>12.8097220346714</v>
      </c>
      <c r="U95" s="185" t="n">
        <f aca="false">U$3*$E95</f>
        <v>13.6671402429285</v>
      </c>
      <c r="V95" s="185" t="n">
        <f aca="false">V$3*$E95</f>
        <v>14.3502048831679</v>
      </c>
      <c r="W95" s="185" t="n">
        <f aca="false">W$3*$E95</f>
        <v>14.8493631299049</v>
      </c>
      <c r="X95" s="185" t="n">
        <f aca="false">X$3*$E95</f>
        <v>15.1915807041873</v>
      </c>
      <c r="Y95" s="185" t="n">
        <f aca="false">Y$3*$E95</f>
        <v>15.4160608747948</v>
      </c>
      <c r="Z95" s="185" t="n">
        <f aca="false">Z$3*$E95</f>
        <v>15.5590726101604</v>
      </c>
      <c r="AA95" s="185" t="n">
        <f aca="false">AA$3*$E95</f>
        <v>15.6484943757968</v>
      </c>
      <c r="AB95" s="185" t="n">
        <f aca="false">AB$3*$E95</f>
        <v>15.7037553411958</v>
      </c>
      <c r="AC95" s="185" t="n">
        <f aca="false">AC$3*$E95</f>
        <v>15.73765826874</v>
      </c>
      <c r="AD95" s="219" t="n">
        <f aca="false">Algae_electricity_factor/H95</f>
        <v>0.00174074248485219</v>
      </c>
      <c r="AE95" s="220" t="n">
        <f aca="false">Algae_electricity_factor/I95</f>
        <v>0.00174074248485219</v>
      </c>
      <c r="AF95" s="220" t="n">
        <f aca="false">Algae_electricity_factor/J95</f>
        <v>0.00174074248485219</v>
      </c>
      <c r="AG95" s="220" t="n">
        <f aca="false">Algae_electricity_factor/K95</f>
        <v>0.00174074248485219</v>
      </c>
      <c r="AH95" s="220" t="n">
        <f aca="false">Algae_electricity_factor/L95</f>
        <v>0.00174074248485219</v>
      </c>
      <c r="AI95" s="220" t="n">
        <f aca="false">Algae_electricity_factor/M95</f>
        <v>0.00166192427495734</v>
      </c>
      <c r="AJ95" s="220" t="n">
        <f aca="false">Algae_electricity_factor/N95</f>
        <v>0.00161800367109522</v>
      </c>
      <c r="AK95" s="220" t="n">
        <f aca="false">Algae_electricity_factor/O95</f>
        <v>0.00155534126171428</v>
      </c>
      <c r="AL95" s="220" t="n">
        <f aca="false">Algae_electricity_factor/P95</f>
        <v>0.00147217938872679</v>
      </c>
      <c r="AM95" s="220" t="n">
        <f aca="false">Algae_electricity_factor/Q95</f>
        <v>0.00137180681120238</v>
      </c>
      <c r="AN95" s="220" t="n">
        <f aca="false">Algae_electricity_factor/R95</f>
        <v>0.00126365959588759</v>
      </c>
      <c r="AO95" s="220" t="n">
        <f aca="false">Algae_electricity_factor/S95</f>
        <v>0.00116049498990146</v>
      </c>
      <c r="AP95" s="220" t="n">
        <f aca="false">Algae_electricity_factor/T95</f>
        <v>0.00107290361698171</v>
      </c>
      <c r="AQ95" s="220" t="n">
        <f aca="false">Algae_electricity_factor/U95</f>
        <v>0.00100559421058405</v>
      </c>
      <c r="AR95" s="220" t="n">
        <f aca="false">Algae_electricity_factor/V95</f>
        <v>0.000957728284398913</v>
      </c>
      <c r="AS95" s="220" t="n">
        <f aca="false">Algae_electricity_factor/W95</f>
        <v>0.000925534447726668</v>
      </c>
      <c r="AT95" s="220" t="n">
        <f aca="false">Algae_electricity_factor/X95</f>
        <v>0.000904685126001476</v>
      </c>
      <c r="AU95" s="220" t="n">
        <f aca="false">Algae_electricity_factor/Y95</f>
        <v>0.000891511600476356</v>
      </c>
      <c r="AV95" s="220" t="n">
        <f aca="false">Algae_electricity_factor/Z95</f>
        <v>0.000883317241835766</v>
      </c>
      <c r="AW95" s="220" t="n">
        <f aca="false">Algae_electricity_factor/AA95</f>
        <v>0.000878269613259803</v>
      </c>
      <c r="AX95" s="220" t="n">
        <f aca="false">Algae_electricity_factor/AB95</f>
        <v>0.00087517901323103</v>
      </c>
      <c r="AY95" s="220" t="n">
        <f aca="false">Algae_electricity_factor/AC95</f>
        <v>0.000873293654547601</v>
      </c>
      <c r="AZ95" s="211" t="n">
        <f aca="false">Algae_yield_cost_factor/H95</f>
        <v>0.0963671345791733</v>
      </c>
      <c r="BA95" s="18" t="n">
        <f aca="false">Algae_yield_cost_factor/I95</f>
        <v>0.0963671345791733</v>
      </c>
      <c r="BB95" s="18" t="n">
        <f aca="false">Algae_yield_cost_factor/J95</f>
        <v>0.0963671345791733</v>
      </c>
      <c r="BC95" s="18" t="n">
        <f aca="false">Algae_yield_cost_factor/K95</f>
        <v>0.0963671345791733</v>
      </c>
      <c r="BD95" s="18" t="n">
        <f aca="false">Algae_yield_cost_factor/L95</f>
        <v>0.0963671345791733</v>
      </c>
      <c r="BE95" s="18" t="n">
        <f aca="false">Algae_yield_cost_factor/M95</f>
        <v>0.0920037752044688</v>
      </c>
      <c r="BF95" s="18" t="n">
        <f aca="false">Algae_yield_cost_factor/N95</f>
        <v>0.08957233989453</v>
      </c>
      <c r="BG95" s="18" t="n">
        <f aca="false">Algae_yield_cost_factor/O95</f>
        <v>0.0861033622080455</v>
      </c>
      <c r="BH95" s="18" t="n">
        <f aca="false">Algae_yield_cost_factor/P95</f>
        <v>0.081499538566249</v>
      </c>
      <c r="BI95" s="18" t="n">
        <f aca="false">Algae_yield_cost_factor/Q95</f>
        <v>0.075942933973368</v>
      </c>
      <c r="BJ95" s="18" t="n">
        <f aca="false">Algae_yield_cost_factor/R95</f>
        <v>0.0699559270821747</v>
      </c>
      <c r="BK95" s="18" t="n">
        <f aca="false">Algae_yield_cost_factor/S95</f>
        <v>0.0642447563861155</v>
      </c>
      <c r="BL95" s="18" t="n">
        <f aca="false">Algae_yield_cost_factor/T95</f>
        <v>0.0593957165680007</v>
      </c>
      <c r="BM95" s="18" t="n">
        <f aca="false">Algae_yield_cost_factor/U95</f>
        <v>0.0556694821127545</v>
      </c>
      <c r="BN95" s="18" t="n">
        <f aca="false">Algae_yield_cost_factor/V95</f>
        <v>0.0530196345962037</v>
      </c>
      <c r="BO95" s="18" t="n">
        <f aca="false">Algae_yield_cost_factor/W95</f>
        <v>0.0512373906294991</v>
      </c>
      <c r="BP95" s="18" t="n">
        <f aca="false">Algae_yield_cost_factor/X95</f>
        <v>0.0500831766029789</v>
      </c>
      <c r="BQ95" s="18" t="n">
        <f aca="false">Algae_yield_cost_factor/Y95</f>
        <v>0.0493538930253053</v>
      </c>
      <c r="BR95" s="18" t="n">
        <f aca="false">Algae_yield_cost_factor/Z95</f>
        <v>0.0489002550697896</v>
      </c>
      <c r="BS95" s="18" t="n">
        <f aca="false">Algae_yield_cost_factor/AA95</f>
        <v>0.0486208194229214</v>
      </c>
      <c r="BT95" s="18" t="n">
        <f aca="false">Algae_yield_cost_factor/AB95</f>
        <v>0.048449724461148</v>
      </c>
      <c r="BU95" s="18" t="n">
        <f aca="false">Algae_yield_cost_factor/AC95</f>
        <v>0.0483453514045029</v>
      </c>
    </row>
    <row r="96" customFormat="false" ht="15" hidden="false" customHeight="false" outlineLevel="0" collapsed="false">
      <c r="A96" s="18" t="s">
        <v>703</v>
      </c>
      <c r="B96" s="18" t="s">
        <v>22</v>
      </c>
      <c r="C96" s="18" t="s">
        <v>688</v>
      </c>
      <c r="D96" s="18" t="s">
        <v>688</v>
      </c>
      <c r="E96" s="185" t="n">
        <v>8.052</v>
      </c>
      <c r="F96" s="18" t="n">
        <f aca="false">E96/$B$2*$F$3/1000</f>
        <v>0.0197274</v>
      </c>
      <c r="G96" s="18" t="n">
        <f aca="false">LOOKUP(RIGHT(D96,5),Ref!$C$4:$C$21,Ref!$E$4:$E$21)*$G$3</f>
        <v>4.5</v>
      </c>
      <c r="H96" s="222" t="n">
        <f aca="false">$E96</f>
        <v>8.052</v>
      </c>
      <c r="I96" s="185" t="n">
        <f aca="false">$E96</f>
        <v>8.052</v>
      </c>
      <c r="J96" s="185" t="n">
        <f aca="false">$E96</f>
        <v>8.052</v>
      </c>
      <c r="K96" s="185" t="n">
        <f aca="false">$E96</f>
        <v>8.052</v>
      </c>
      <c r="L96" s="185" t="n">
        <f aca="false">$E96</f>
        <v>8.052</v>
      </c>
      <c r="M96" s="185" t="n">
        <f aca="false">M$3*$E96</f>
        <v>8.43387313082577</v>
      </c>
      <c r="N96" s="185" t="n">
        <f aca="false">N$3*$E96</f>
        <v>8.66281006553105</v>
      </c>
      <c r="O96" s="185" t="n">
        <f aca="false">O$3*$E96</f>
        <v>9.01182192812209</v>
      </c>
      <c r="P96" s="185" t="n">
        <f aca="false">P$3*$E96</f>
        <v>9.52089031768878</v>
      </c>
      <c r="Q96" s="185" t="n">
        <f aca="false">Q$3*$E96</f>
        <v>10.2175163248712</v>
      </c>
      <c r="R96" s="185" t="n">
        <f aca="false">R$3*$E96</f>
        <v>11.0919574651627</v>
      </c>
      <c r="S96" s="185" t="n">
        <f aca="false">S$3*$E96</f>
        <v>12.078</v>
      </c>
      <c r="T96" s="185" t="n">
        <f aca="false">T$3*$E96</f>
        <v>13.0640425348373</v>
      </c>
      <c r="U96" s="185" t="n">
        <f aca="false">U$3*$E96</f>
        <v>13.9384836751288</v>
      </c>
      <c r="V96" s="185" t="n">
        <f aca="false">V$3*$E96</f>
        <v>14.6351096823112</v>
      </c>
      <c r="W96" s="185" t="n">
        <f aca="false">W$3*$E96</f>
        <v>15.1441780718779</v>
      </c>
      <c r="X96" s="185" t="n">
        <f aca="false">X$3*$E96</f>
        <v>15.4931899344689</v>
      </c>
      <c r="Y96" s="185" t="n">
        <f aca="false">Y$3*$E96</f>
        <v>15.7221268691742</v>
      </c>
      <c r="Z96" s="185" t="n">
        <f aca="false">Z$3*$E96</f>
        <v>15.8679779179901</v>
      </c>
      <c r="AA96" s="185" t="n">
        <f aca="false">AA$3*$E96</f>
        <v>15.9591750373852</v>
      </c>
      <c r="AB96" s="185" t="n">
        <f aca="false">AB$3*$E96</f>
        <v>16.0155331379385</v>
      </c>
      <c r="AC96" s="185" t="n">
        <f aca="false">AC$3*$E96</f>
        <v>16.0501091643577</v>
      </c>
      <c r="AD96" s="219" t="n">
        <f aca="false">Algae_electricity_factor/H96</f>
        <v>0.00170685507992167</v>
      </c>
      <c r="AE96" s="220" t="n">
        <f aca="false">Algae_electricity_factor/I96</f>
        <v>0.00170685507992167</v>
      </c>
      <c r="AF96" s="220" t="n">
        <f aca="false">Algae_electricity_factor/J96</f>
        <v>0.00170685507992167</v>
      </c>
      <c r="AG96" s="220" t="n">
        <f aca="false">Algae_electricity_factor/K96</f>
        <v>0.00170685507992167</v>
      </c>
      <c r="AH96" s="220" t="n">
        <f aca="false">Algae_electricity_factor/L96</f>
        <v>0.00170685507992167</v>
      </c>
      <c r="AI96" s="220" t="n">
        <f aca="false">Algae_electricity_factor/M96</f>
        <v>0.00162957124091617</v>
      </c>
      <c r="AJ96" s="220" t="n">
        <f aca="false">Algae_electricity_factor/N96</f>
        <v>0.00158650564880955</v>
      </c>
      <c r="AK96" s="220" t="n">
        <f aca="false">Algae_electricity_factor/O96</f>
        <v>0.00152506310190632</v>
      </c>
      <c r="AL96" s="220" t="n">
        <f aca="false">Algae_electricity_factor/P96</f>
        <v>0.00144352015882329</v>
      </c>
      <c r="AM96" s="220" t="n">
        <f aca="false">Algae_electricity_factor/Q96</f>
        <v>0.00134510155565643</v>
      </c>
      <c r="AN96" s="220" t="n">
        <f aca="false">Algae_electricity_factor/R96</f>
        <v>0.00123905966522995</v>
      </c>
      <c r="AO96" s="220" t="n">
        <f aca="false">Algae_electricity_factor/S96</f>
        <v>0.00113790338661444</v>
      </c>
      <c r="AP96" s="220" t="n">
        <f aca="false">Algae_electricity_factor/T96</f>
        <v>0.00105201717361833</v>
      </c>
      <c r="AQ96" s="220" t="n">
        <f aca="false">Algae_electricity_factor/U96</f>
        <v>0.000986018093779649</v>
      </c>
      <c r="AR96" s="220" t="n">
        <f aca="false">Algae_electricity_factor/V96</f>
        <v>0.000939083983780491</v>
      </c>
      <c r="AS96" s="220" t="n">
        <f aca="false">Algae_electricity_factor/W96</f>
        <v>0.000907516871387727</v>
      </c>
      <c r="AT96" s="220" t="n">
        <f aca="false">Algae_electricity_factor/X96</f>
        <v>0.000887073427851857</v>
      </c>
      <c r="AU96" s="220" t="n">
        <f aca="false">Algae_electricity_factor/Y96</f>
        <v>0.000874156354155607</v>
      </c>
      <c r="AV96" s="220" t="n">
        <f aca="false">Algae_electricity_factor/Z96</f>
        <v>0.000866121516841013</v>
      </c>
      <c r="AW96" s="220" t="n">
        <f aca="false">Algae_electricity_factor/AA96</f>
        <v>0.000861172151526262</v>
      </c>
      <c r="AX96" s="220" t="n">
        <f aca="false">Algae_electricity_factor/AB96</f>
        <v>0.000858141716866901</v>
      </c>
      <c r="AY96" s="220" t="n">
        <f aca="false">Algae_electricity_factor/AC96</f>
        <v>0.00085629306086276</v>
      </c>
      <c r="AZ96" s="211" t="n">
        <f aca="false">Algae_yield_cost_factor/H96</f>
        <v>0.0944911350330623</v>
      </c>
      <c r="BA96" s="18" t="n">
        <f aca="false">Algae_yield_cost_factor/I96</f>
        <v>0.0944911350330623</v>
      </c>
      <c r="BB96" s="18" t="n">
        <f aca="false">Algae_yield_cost_factor/J96</f>
        <v>0.0944911350330623</v>
      </c>
      <c r="BC96" s="18" t="n">
        <f aca="false">Algae_yield_cost_factor/K96</f>
        <v>0.0944911350330623</v>
      </c>
      <c r="BD96" s="18" t="n">
        <f aca="false">Algae_yield_cost_factor/L96</f>
        <v>0.0944911350330623</v>
      </c>
      <c r="BE96" s="18" t="n">
        <f aca="false">Algae_yield_cost_factor/M96</f>
        <v>0.0902127181052015</v>
      </c>
      <c r="BF96" s="18" t="n">
        <f aca="false">Algae_yield_cost_factor/N96</f>
        <v>0.087828616064616</v>
      </c>
      <c r="BG96" s="18" t="n">
        <f aca="false">Algae_yield_cost_factor/O96</f>
        <v>0.0844271697060446</v>
      </c>
      <c r="BH96" s="18" t="n">
        <f aca="false">Algae_yield_cost_factor/P96</f>
        <v>0.0799129696802257</v>
      </c>
      <c r="BI96" s="18" t="n">
        <f aca="false">Algae_yield_cost_factor/Q96</f>
        <v>0.0744645366931487</v>
      </c>
      <c r="BJ96" s="18" t="n">
        <f aca="false">Algae_yield_cost_factor/R96</f>
        <v>0.0685940801410258</v>
      </c>
      <c r="BK96" s="18" t="n">
        <f aca="false">Algae_yield_cost_factor/S96</f>
        <v>0.0629940900220416</v>
      </c>
      <c r="BL96" s="18" t="n">
        <f aca="false">Algae_yield_cost_factor/T96</f>
        <v>0.0582394474954679</v>
      </c>
      <c r="BM96" s="18" t="n">
        <f aca="false">Algae_yield_cost_factor/U96</f>
        <v>0.0545857524404775</v>
      </c>
      <c r="BN96" s="18" t="n">
        <f aca="false">Algae_yield_cost_factor/V96</f>
        <v>0.051987490070253</v>
      </c>
      <c r="BO96" s="18" t="n">
        <f aca="false">Algae_yield_cost_factor/W96</f>
        <v>0.0502399414266708</v>
      </c>
      <c r="BP96" s="18" t="n">
        <f aca="false">Algae_yield_cost_factor/X96</f>
        <v>0.0491081967305848</v>
      </c>
      <c r="BQ96" s="18" t="n">
        <f aca="false">Algae_yield_cost_factor/Y96</f>
        <v>0.0483931102717389</v>
      </c>
      <c r="BR96" s="18" t="n">
        <f aca="false">Algae_yield_cost_factor/Z96</f>
        <v>0.0479483033829801</v>
      </c>
      <c r="BS96" s="18" t="n">
        <f aca="false">Algae_yield_cost_factor/AA96</f>
        <v>0.0476743075694015</v>
      </c>
      <c r="BT96" s="18" t="n">
        <f aca="false">Algae_yield_cost_factor/AB96</f>
        <v>0.0475065433497117</v>
      </c>
      <c r="BU96" s="18" t="n">
        <f aca="false">Algae_yield_cost_factor/AC96</f>
        <v>0.0474042021456038</v>
      </c>
    </row>
    <row r="97" customFormat="false" ht="15" hidden="false" customHeight="false" outlineLevel="0" collapsed="false">
      <c r="A97" s="18" t="s">
        <v>705</v>
      </c>
      <c r="B97" s="18" t="s">
        <v>22</v>
      </c>
      <c r="C97" s="18" t="s">
        <v>684</v>
      </c>
      <c r="D97" s="18" t="s">
        <v>684</v>
      </c>
      <c r="E97" s="185" t="n">
        <v>7.5735</v>
      </c>
      <c r="F97" s="18" t="n">
        <f aca="false">E97/$B$2*$F$3/1000</f>
        <v>0.018555075</v>
      </c>
      <c r="G97" s="18" t="n">
        <f aca="false">LOOKUP(RIGHT(D97,5),Ref!$C$4:$C$21,Ref!$E$4:$E$21)*$G$3</f>
        <v>3.5</v>
      </c>
      <c r="H97" s="222" t="n">
        <f aca="false">$E97</f>
        <v>7.5735</v>
      </c>
      <c r="I97" s="185" t="n">
        <f aca="false">$E97</f>
        <v>7.5735</v>
      </c>
      <c r="J97" s="185" t="n">
        <f aca="false">$E97</f>
        <v>7.5735</v>
      </c>
      <c r="K97" s="185" t="n">
        <f aca="false">$E97</f>
        <v>7.5735</v>
      </c>
      <c r="L97" s="185" t="n">
        <f aca="false">$E97</f>
        <v>7.5735</v>
      </c>
      <c r="M97" s="185" t="n">
        <f aca="false">M$3*$E97</f>
        <v>7.9326798505103</v>
      </c>
      <c r="N97" s="185" t="n">
        <f aca="false">N$3*$E97</f>
        <v>8.14801192639089</v>
      </c>
      <c r="O97" s="185" t="n">
        <f aca="false">O$3*$E97</f>
        <v>8.47628332993451</v>
      </c>
      <c r="P97" s="185" t="n">
        <f aca="false">P$3*$E97</f>
        <v>8.95509970454744</v>
      </c>
      <c r="Q97" s="185" t="n">
        <f aca="false">Q$3*$E97</f>
        <v>9.61032785474566</v>
      </c>
      <c r="R97" s="185" t="n">
        <f aca="false">R$3*$E97</f>
        <v>10.4328042551428</v>
      </c>
      <c r="S97" s="185" t="n">
        <f aca="false">S$3*$E97</f>
        <v>11.36025</v>
      </c>
      <c r="T97" s="185" t="n">
        <f aca="false">T$3*$E97</f>
        <v>12.2876957448572</v>
      </c>
      <c r="U97" s="185" t="n">
        <f aca="false">U$3*$E97</f>
        <v>13.1101721452543</v>
      </c>
      <c r="V97" s="185" t="n">
        <f aca="false">V$3*$E97</f>
        <v>13.7654002954526</v>
      </c>
      <c r="W97" s="185" t="n">
        <f aca="false">W$3*$E97</f>
        <v>14.2442166700655</v>
      </c>
      <c r="X97" s="185" t="n">
        <f aca="false">X$3*$E97</f>
        <v>14.5724880736091</v>
      </c>
      <c r="Y97" s="185" t="n">
        <f aca="false">Y$3*$E97</f>
        <v>14.7878201494897</v>
      </c>
      <c r="Z97" s="185" t="n">
        <f aca="false">Z$3*$E97</f>
        <v>14.9250038204046</v>
      </c>
      <c r="AA97" s="185" t="n">
        <f aca="false">AA$3*$E97</f>
        <v>15.0107814388521</v>
      </c>
      <c r="AB97" s="185" t="n">
        <f aca="false">AB$3*$E97</f>
        <v>15.0637903899872</v>
      </c>
      <c r="AC97" s="185" t="n">
        <f aca="false">AC$3*$E97</f>
        <v>15.0963116935249</v>
      </c>
      <c r="AD97" s="219" t="n">
        <f aca="false">Algae_electricity_factor/H97</f>
        <v>0.00181469559695375</v>
      </c>
      <c r="AE97" s="220" t="n">
        <f aca="false">Algae_electricity_factor/I97</f>
        <v>0.00181469559695375</v>
      </c>
      <c r="AF97" s="220" t="n">
        <f aca="false">Algae_electricity_factor/J97</f>
        <v>0.00181469559695375</v>
      </c>
      <c r="AG97" s="220" t="n">
        <f aca="false">Algae_electricity_factor/K97</f>
        <v>0.00181469559695375</v>
      </c>
      <c r="AH97" s="220" t="n">
        <f aca="false">Algae_electricity_factor/L97</f>
        <v>0.00181469559695375</v>
      </c>
      <c r="AI97" s="220" t="n">
        <f aca="false">Algae_electricity_factor/M97</f>
        <v>0.00173252890101762</v>
      </c>
      <c r="AJ97" s="220" t="n">
        <f aca="false">Algae_electricity_factor/N97</f>
        <v>0.00168674238914828</v>
      </c>
      <c r="AK97" s="220" t="n">
        <f aca="false">Algae_electricity_factor/O97</f>
        <v>0.00162141785126423</v>
      </c>
      <c r="AL97" s="220" t="n">
        <f aca="false">Algae_electricity_factor/P97</f>
        <v>0.0015347229575289</v>
      </c>
      <c r="AM97" s="220" t="n">
        <f aca="false">Algae_electricity_factor/Q97</f>
        <v>0.00143008618553451</v>
      </c>
      <c r="AN97" s="220" t="n">
        <f aca="false">Algae_electricity_factor/R97</f>
        <v>0.0013173444806802</v>
      </c>
      <c r="AO97" s="220" t="n">
        <f aca="false">Algae_electricity_factor/S97</f>
        <v>0.00120979706463584</v>
      </c>
      <c r="AP97" s="220" t="n">
        <f aca="false">Algae_electricity_factor/T97</f>
        <v>0.00111848448959858</v>
      </c>
      <c r="AQ97" s="220" t="n">
        <f aca="false">Algae_electricity_factor/U97</f>
        <v>0.00104831553325592</v>
      </c>
      <c r="AR97" s="220" t="n">
        <f aca="false">Algae_electricity_factor/V97</f>
        <v>0.000998416087330893</v>
      </c>
      <c r="AS97" s="220" t="n">
        <f aca="false">Algae_electricity_factor/W97</f>
        <v>0.000964854538643161</v>
      </c>
      <c r="AT97" s="220" t="n">
        <f aca="false">Algae_electricity_factor/X97</f>
        <v>0.000943119461419839</v>
      </c>
      <c r="AU97" s="220" t="n">
        <f aca="false">Algae_electricity_factor/Y97</f>
        <v>0.000929386276313587</v>
      </c>
      <c r="AV97" s="220" t="n">
        <f aca="false">Algae_electricity_factor/Z97</f>
        <v>0.000920843791325521</v>
      </c>
      <c r="AW97" s="220" t="n">
        <f aca="false">Algae_electricity_factor/AA97</f>
        <v>0.000915581721012671</v>
      </c>
      <c r="AX97" s="220" t="n">
        <f aca="false">Algae_electricity_factor/AB97</f>
        <v>0.000912359820982675</v>
      </c>
      <c r="AY97" s="220" t="n">
        <f aca="false">Algae_electricity_factor/AC97</f>
        <v>0.000910394365361715</v>
      </c>
      <c r="AZ97" s="211" t="n">
        <f aca="false">Algae_yield_cost_factor/H97</f>
        <v>0.100461163172406</v>
      </c>
      <c r="BA97" s="18" t="n">
        <f aca="false">Algae_yield_cost_factor/I97</f>
        <v>0.100461163172406</v>
      </c>
      <c r="BB97" s="18" t="n">
        <f aca="false">Algae_yield_cost_factor/J97</f>
        <v>0.100461163172406</v>
      </c>
      <c r="BC97" s="18" t="n">
        <f aca="false">Algae_yield_cost_factor/K97</f>
        <v>0.100461163172406</v>
      </c>
      <c r="BD97" s="18" t="n">
        <f aca="false">Algae_yield_cost_factor/L97</f>
        <v>0.100461163172406</v>
      </c>
      <c r="BE97" s="18" t="n">
        <f aca="false">Algae_yield_cost_factor/M97</f>
        <v>0.0959124323209985</v>
      </c>
      <c r="BF97" s="18" t="n">
        <f aca="false">Algae_yield_cost_factor/N97</f>
        <v>0.0933777007397225</v>
      </c>
      <c r="BG97" s="18" t="n">
        <f aca="false">Algae_yield_cost_factor/O97</f>
        <v>0.0897613481842043</v>
      </c>
      <c r="BH97" s="18" t="n">
        <f aca="false">Algae_yield_cost_factor/P97</f>
        <v>0.0849619372635079</v>
      </c>
      <c r="BI97" s="18" t="n">
        <f aca="false">Algae_yield_cost_factor/Q97</f>
        <v>0.0791692677696222</v>
      </c>
      <c r="BJ97" s="18" t="n">
        <f aca="false">Algae_yield_cost_factor/R97</f>
        <v>0.0729279109124632</v>
      </c>
      <c r="BK97" s="18" t="n">
        <f aca="false">Algae_yield_cost_factor/S97</f>
        <v>0.0669741087816041</v>
      </c>
      <c r="BL97" s="18" t="n">
        <f aca="false">Algae_yield_cost_factor/T97</f>
        <v>0.0619190640038961</v>
      </c>
      <c r="BM97" s="18" t="n">
        <f aca="false">Algae_yield_cost_factor/U97</f>
        <v>0.0580345254704859</v>
      </c>
      <c r="BN97" s="18" t="n">
        <f aca="false">Algae_yield_cost_factor/V97</f>
        <v>0.0552721027326437</v>
      </c>
      <c r="BO97" s="18" t="n">
        <f aca="false">Algae_yield_cost_factor/W97</f>
        <v>0.0534141425189876</v>
      </c>
      <c r="BP97" s="18" t="n">
        <f aca="false">Algae_yield_cost_factor/X97</f>
        <v>0.0522108932560466</v>
      </c>
      <c r="BQ97" s="18" t="n">
        <f aca="false">Algae_yield_cost_factor/Y97</f>
        <v>0.0514506270427202</v>
      </c>
      <c r="BR97" s="18" t="n">
        <f aca="false">Algae_yield_cost_factor/Z97</f>
        <v>0.05097771688648</v>
      </c>
      <c r="BS97" s="18" t="n">
        <f aca="false">Algae_yield_cost_factor/AA97</f>
        <v>0.0506864097905619</v>
      </c>
      <c r="BT97" s="18" t="n">
        <f aca="false">Algae_yield_cost_factor/AB97</f>
        <v>0.0505080460885824</v>
      </c>
      <c r="BU97" s="18" t="n">
        <f aca="false">Algae_yield_cost_factor/AC97</f>
        <v>0.050399238882472</v>
      </c>
    </row>
    <row r="98" customFormat="false" ht="15" hidden="false" customHeight="false" outlineLevel="0" collapsed="false">
      <c r="A98" s="18" t="s">
        <v>705</v>
      </c>
      <c r="B98" s="18" t="s">
        <v>22</v>
      </c>
      <c r="C98" s="18" t="s">
        <v>685</v>
      </c>
      <c r="D98" s="18" t="s">
        <v>685</v>
      </c>
      <c r="E98" s="185" t="n">
        <v>8.27475</v>
      </c>
      <c r="F98" s="18" t="n">
        <f aca="false">E98/$B$2*$F$3/1000</f>
        <v>0.0202731375</v>
      </c>
      <c r="G98" s="18" t="n">
        <f aca="false">LOOKUP(RIGHT(D98,5),Ref!$C$4:$C$21,Ref!$E$4:$E$21)*$G$3</f>
        <v>4</v>
      </c>
      <c r="H98" s="222" t="n">
        <f aca="false">$E98</f>
        <v>8.27475</v>
      </c>
      <c r="I98" s="185" t="n">
        <f aca="false">$E98</f>
        <v>8.27475</v>
      </c>
      <c r="J98" s="185" t="n">
        <f aca="false">$E98</f>
        <v>8.27475</v>
      </c>
      <c r="K98" s="185" t="n">
        <f aca="false">$E98</f>
        <v>8.27475</v>
      </c>
      <c r="L98" s="185" t="n">
        <f aca="false">$E98</f>
        <v>8.27475</v>
      </c>
      <c r="M98" s="185" t="n">
        <f aca="false">M$3*$E98</f>
        <v>8.66718724407607</v>
      </c>
      <c r="N98" s="185" t="n">
        <f aca="false">N$3*$E98</f>
        <v>8.90245747513078</v>
      </c>
      <c r="O98" s="185" t="n">
        <f aca="false">O$3*$E98</f>
        <v>9.26112437900252</v>
      </c>
      <c r="P98" s="185" t="n">
        <f aca="false">P$3*$E98</f>
        <v>9.78427560311665</v>
      </c>
      <c r="Q98" s="185" t="n">
        <f aca="false">Q$3*$E98</f>
        <v>10.5001730264814</v>
      </c>
      <c r="R98" s="185" t="n">
        <f aca="false">R$3*$E98</f>
        <v>11.3988046491375</v>
      </c>
      <c r="S98" s="185" t="n">
        <f aca="false">S$3*$E98</f>
        <v>12.412125</v>
      </c>
      <c r="T98" s="185" t="n">
        <f aca="false">T$3*$E98</f>
        <v>13.4254453508625</v>
      </c>
      <c r="U98" s="185" t="n">
        <f aca="false">U$3*$E98</f>
        <v>14.3240769735186</v>
      </c>
      <c r="V98" s="185" t="n">
        <f aca="false">V$3*$E98</f>
        <v>15.0399743968834</v>
      </c>
      <c r="W98" s="185" t="n">
        <f aca="false">W$3*$E98</f>
        <v>15.5631256209975</v>
      </c>
      <c r="X98" s="185" t="n">
        <f aca="false">X$3*$E98</f>
        <v>15.9217925248692</v>
      </c>
      <c r="Y98" s="185" t="n">
        <f aca="false">Y$3*$E98</f>
        <v>16.1570627559239</v>
      </c>
      <c r="Z98" s="185" t="n">
        <f aca="false">Z$3*$E98</f>
        <v>16.3069486185902</v>
      </c>
      <c r="AA98" s="185" t="n">
        <f aca="false">AA$3*$E98</f>
        <v>16.4006686091162</v>
      </c>
      <c r="AB98" s="185" t="n">
        <f aca="false">AB$3*$E98</f>
        <v>16.4585857964675</v>
      </c>
      <c r="AC98" s="185" t="n">
        <f aca="false">AC$3*$E98</f>
        <v>16.4941183318143</v>
      </c>
      <c r="AD98" s="219" t="n">
        <f aca="false">Algae_electricity_factor/H98</f>
        <v>0.00166090783450005</v>
      </c>
      <c r="AE98" s="220" t="n">
        <f aca="false">Algae_electricity_factor/I98</f>
        <v>0.00166090783450005</v>
      </c>
      <c r="AF98" s="220" t="n">
        <f aca="false">Algae_electricity_factor/J98</f>
        <v>0.00166090783450005</v>
      </c>
      <c r="AG98" s="220" t="n">
        <f aca="false">Algae_electricity_factor/K98</f>
        <v>0.00166090783450005</v>
      </c>
      <c r="AH98" s="220" t="n">
        <f aca="false">Algae_electricity_factor/L98</f>
        <v>0.00166090783450005</v>
      </c>
      <c r="AI98" s="220" t="n">
        <f aca="false">Algae_electricity_factor/M98</f>
        <v>0.00158570441788054</v>
      </c>
      <c r="AJ98" s="220" t="n">
        <f aca="false">Algae_electricity_factor/N98</f>
        <v>0.00154379811888148</v>
      </c>
      <c r="AK98" s="220" t="n">
        <f aca="false">Algae_electricity_factor/O98</f>
        <v>0.00148400955878421</v>
      </c>
      <c r="AL98" s="220" t="n">
        <f aca="false">Algae_electricity_factor/P98</f>
        <v>0.00140466168994171</v>
      </c>
      <c r="AM98" s="220" t="n">
        <f aca="false">Algae_electricity_factor/Q98</f>
        <v>0.00130889244099769</v>
      </c>
      <c r="AN98" s="220" t="n">
        <f aca="false">Algae_electricity_factor/R98</f>
        <v>0.0012057051179107</v>
      </c>
      <c r="AO98" s="220" t="n">
        <f aca="false">Algae_electricity_factor/S98</f>
        <v>0.0011072718896667</v>
      </c>
      <c r="AP98" s="220" t="n">
        <f aca="false">Algae_electricity_factor/T98</f>
        <v>0.00102369766844616</v>
      </c>
      <c r="AQ98" s="220" t="n">
        <f aca="false">Algae_electricity_factor/U98</f>
        <v>0.000959475233827456</v>
      </c>
      <c r="AR98" s="220" t="n">
        <f aca="false">Algae_electricity_factor/V98</f>
        <v>0.000913804554506241</v>
      </c>
      <c r="AS98" s="220" t="n">
        <f aca="false">Algae_electricity_factor/W98</f>
        <v>0.000883087204859842</v>
      </c>
      <c r="AT98" s="220" t="n">
        <f aca="false">Algae_electricity_factor/X98</f>
        <v>0.000863194083333412</v>
      </c>
      <c r="AU98" s="220" t="n">
        <f aca="false">Algae_electricity_factor/Y98</f>
        <v>0.000850624727473453</v>
      </c>
      <c r="AV98" s="220" t="n">
        <f aca="false">Algae_electricity_factor/Z98</f>
        <v>0.000842806181891155</v>
      </c>
      <c r="AW98" s="220" t="n">
        <f aca="false">Algae_electricity_factor/AA98</f>
        <v>0.000837990049740411</v>
      </c>
      <c r="AX98" s="220" t="n">
        <f aca="false">Algae_electricity_factor/AB98</f>
        <v>0.000835041192085838</v>
      </c>
      <c r="AY98" s="220" t="n">
        <f aca="false">Algae_electricity_factor/AC98</f>
        <v>0.000833242300500552</v>
      </c>
      <c r="AZ98" s="211" t="n">
        <f aca="false">Algae_yield_cost_factor/H98</f>
        <v>0.0919475052764395</v>
      </c>
      <c r="BA98" s="18" t="n">
        <f aca="false">Algae_yield_cost_factor/I98</f>
        <v>0.0919475052764395</v>
      </c>
      <c r="BB98" s="18" t="n">
        <f aca="false">Algae_yield_cost_factor/J98</f>
        <v>0.0919475052764395</v>
      </c>
      <c r="BC98" s="18" t="n">
        <f aca="false">Algae_yield_cost_factor/K98</f>
        <v>0.0919475052764395</v>
      </c>
      <c r="BD98" s="18" t="n">
        <f aca="false">Algae_yield_cost_factor/L98</f>
        <v>0.0919475052764395</v>
      </c>
      <c r="BE98" s="18" t="n">
        <f aca="false">Algae_yield_cost_factor/M98</f>
        <v>0.0877842600904054</v>
      </c>
      <c r="BF98" s="18" t="n">
        <f aca="false">Algae_yield_cost_factor/N98</f>
        <v>0.0854643362702545</v>
      </c>
      <c r="BG98" s="18" t="n">
        <f aca="false">Algae_yield_cost_factor/O98</f>
        <v>0.0821544542702887</v>
      </c>
      <c r="BH98" s="18" t="n">
        <f aca="false">Algae_yield_cost_factor/P98</f>
        <v>0.0777617730886344</v>
      </c>
      <c r="BI98" s="18" t="n">
        <f aca="false">Algae_yield_cost_factor/Q98</f>
        <v>0.0724600077891457</v>
      </c>
      <c r="BJ98" s="18" t="n">
        <f aca="false">Algae_yield_cost_factor/R98</f>
        <v>0.0667475794792036</v>
      </c>
      <c r="BK98" s="18" t="n">
        <f aca="false">Algae_yield_cost_factor/S98</f>
        <v>0.0612983368509597</v>
      </c>
      <c r="BL98" s="18" t="n">
        <f aca="false">Algae_yield_cost_factor/T98</f>
        <v>0.0566716856984812</v>
      </c>
      <c r="BM98" s="18" t="n">
        <f aca="false">Algae_yield_cost_factor/U98</f>
        <v>0.0531163453458685</v>
      </c>
      <c r="BN98" s="18" t="n">
        <f aca="false">Algae_yield_cost_factor/V98</f>
        <v>0.0505880262298773</v>
      </c>
      <c r="BO98" s="18" t="n">
        <f aca="false">Algae_yield_cost_factor/W98</f>
        <v>0.0488875202716158</v>
      </c>
      <c r="BP98" s="18" t="n">
        <f aca="false">Algae_yield_cost_factor/X98</f>
        <v>0.0477862412851952</v>
      </c>
      <c r="BQ98" s="18" t="n">
        <f aca="false">Algae_yield_cost_factor/Y98</f>
        <v>0.0470904044119812</v>
      </c>
      <c r="BR98" s="18" t="n">
        <f aca="false">Algae_yield_cost_factor/Z98</f>
        <v>0.0466575713876257</v>
      </c>
      <c r="BS98" s="18" t="n">
        <f aca="false">Algae_yield_cost_factor/AA98</f>
        <v>0.0463909513337346</v>
      </c>
      <c r="BT98" s="18" t="n">
        <f aca="false">Algae_yield_cost_factor/AB98</f>
        <v>0.0462277031997195</v>
      </c>
      <c r="BU98" s="18" t="n">
        <f aca="false">Algae_yield_cost_factor/AC98</f>
        <v>0.0461281169432794</v>
      </c>
    </row>
    <row r="99" customFormat="false" ht="15" hidden="false" customHeight="false" outlineLevel="0" collapsed="false">
      <c r="A99" s="18" t="s">
        <v>705</v>
      </c>
      <c r="B99" s="18" t="s">
        <v>22</v>
      </c>
      <c r="C99" s="18" t="s">
        <v>686</v>
      </c>
      <c r="D99" s="18" t="s">
        <v>686</v>
      </c>
      <c r="E99" s="185" t="n">
        <v>7.71375</v>
      </c>
      <c r="F99" s="18" t="n">
        <f aca="false">E99/$B$2*$F$3/1000</f>
        <v>0.0188986875</v>
      </c>
      <c r="G99" s="18" t="n">
        <f aca="false">LOOKUP(RIGHT(D99,5),Ref!$C$4:$C$21,Ref!$E$4:$E$21)*$G$3</f>
        <v>4.5</v>
      </c>
      <c r="H99" s="222" t="n">
        <f aca="false">$E99</f>
        <v>7.71375</v>
      </c>
      <c r="I99" s="185" t="n">
        <f aca="false">$E99</f>
        <v>7.71375</v>
      </c>
      <c r="J99" s="185" t="n">
        <f aca="false">$E99</f>
        <v>7.71375</v>
      </c>
      <c r="K99" s="185" t="n">
        <f aca="false">$E99</f>
        <v>7.71375</v>
      </c>
      <c r="L99" s="185" t="n">
        <f aca="false">$E99</f>
        <v>7.71375</v>
      </c>
      <c r="M99" s="185" t="n">
        <f aca="false">M$3*$E99</f>
        <v>8.07958132922346</v>
      </c>
      <c r="N99" s="185" t="n">
        <f aca="false">N$3*$E99</f>
        <v>8.29890103613887</v>
      </c>
      <c r="O99" s="185" t="n">
        <f aca="false">O$3*$E99</f>
        <v>8.63325153974811</v>
      </c>
      <c r="P99" s="185" t="n">
        <f aca="false">P$3*$E99</f>
        <v>9.12093488426128</v>
      </c>
      <c r="Q99" s="185" t="n">
        <f aca="false">Q$3*$E99</f>
        <v>9.7882968890928</v>
      </c>
      <c r="R99" s="185" t="n">
        <f aca="false">R$3*$E99</f>
        <v>10.6260043339417</v>
      </c>
      <c r="S99" s="185" t="n">
        <f aca="false">S$3*$E99</f>
        <v>11.570625</v>
      </c>
      <c r="T99" s="185" t="n">
        <f aca="false">T$3*$E99</f>
        <v>12.5152456660583</v>
      </c>
      <c r="U99" s="185" t="n">
        <f aca="false">U$3*$E99</f>
        <v>13.3529531109072</v>
      </c>
      <c r="V99" s="185" t="n">
        <f aca="false">V$3*$E99</f>
        <v>14.0203151157387</v>
      </c>
      <c r="W99" s="185" t="n">
        <f aca="false">W$3*$E99</f>
        <v>14.5079984602519</v>
      </c>
      <c r="X99" s="185" t="n">
        <f aca="false">X$3*$E99</f>
        <v>14.8423489638611</v>
      </c>
      <c r="Y99" s="185" t="n">
        <f aca="false">Y$3*$E99</f>
        <v>15.0616686707765</v>
      </c>
      <c r="Z99" s="185" t="n">
        <f aca="false">Z$3*$E99</f>
        <v>15.2013927800417</v>
      </c>
      <c r="AA99" s="185" t="n">
        <f aca="false">AA$3*$E99</f>
        <v>15.2887588729049</v>
      </c>
      <c r="AB99" s="185" t="n">
        <f aca="false">AB$3*$E99</f>
        <v>15.3427494712833</v>
      </c>
      <c r="AC99" s="185" t="n">
        <f aca="false">AC$3*$E99</f>
        <v>15.3758730211828</v>
      </c>
      <c r="AD99" s="219" t="n">
        <f aca="false">Algae_electricity_factor/H99</f>
        <v>0.0017817011315546</v>
      </c>
      <c r="AE99" s="220" t="n">
        <f aca="false">Algae_electricity_factor/I99</f>
        <v>0.0017817011315546</v>
      </c>
      <c r="AF99" s="220" t="n">
        <f aca="false">Algae_electricity_factor/J99</f>
        <v>0.0017817011315546</v>
      </c>
      <c r="AG99" s="220" t="n">
        <f aca="false">Algae_electricity_factor/K99</f>
        <v>0.0017817011315546</v>
      </c>
      <c r="AH99" s="220" t="n">
        <f aca="false">Algae_electricity_factor/L99</f>
        <v>0.0017817011315546</v>
      </c>
      <c r="AI99" s="220" t="n">
        <f aca="false">Algae_electricity_factor/M99</f>
        <v>0.00170102837554458</v>
      </c>
      <c r="AJ99" s="220" t="n">
        <f aca="false">Algae_electricity_factor/N99</f>
        <v>0.00165607434570922</v>
      </c>
      <c r="AK99" s="220" t="n">
        <f aca="false">Algae_electricity_factor/O99</f>
        <v>0.00159193752669579</v>
      </c>
      <c r="AL99" s="220" t="n">
        <f aca="false">Algae_electricity_factor/P99</f>
        <v>0.00150681890375565</v>
      </c>
      <c r="AM99" s="220" t="n">
        <f aca="false">Algae_electricity_factor/Q99</f>
        <v>0.00140408461852479</v>
      </c>
      <c r="AN99" s="220" t="n">
        <f aca="false">Algae_electricity_factor/R99</f>
        <v>0.00129339276284966</v>
      </c>
      <c r="AO99" s="220" t="n">
        <f aca="false">Algae_electricity_factor/S99</f>
        <v>0.00118780075436973</v>
      </c>
      <c r="AP99" s="220" t="n">
        <f aca="false">Algae_electricity_factor/T99</f>
        <v>0.00109814840796951</v>
      </c>
      <c r="AQ99" s="220" t="n">
        <f aca="false">Algae_electricity_factor/U99</f>
        <v>0.00102925525083309</v>
      </c>
      <c r="AR99" s="220" t="n">
        <f aca="false">Algae_electricity_factor/V99</f>
        <v>0.00098026306756124</v>
      </c>
      <c r="AS99" s="220" t="n">
        <f aca="false">Algae_electricity_factor/W99</f>
        <v>0.000947311728849649</v>
      </c>
      <c r="AT99" s="220" t="n">
        <f aca="false">Algae_electricity_factor/X99</f>
        <v>0.00092597183484857</v>
      </c>
      <c r="AU99" s="220" t="n">
        <f aca="false">Algae_electricity_factor/Y99</f>
        <v>0.000912488344016976</v>
      </c>
      <c r="AV99" s="220" t="n">
        <f aca="false">Algae_electricity_factor/Z99</f>
        <v>0.000904101176937784</v>
      </c>
      <c r="AW99" s="220" t="n">
        <f aca="false">Algae_electricity_factor/AA99</f>
        <v>0.000898934780630622</v>
      </c>
      <c r="AX99" s="220" t="n">
        <f aca="false">Algae_electricity_factor/AB99</f>
        <v>0.000895771460601172</v>
      </c>
      <c r="AY99" s="220" t="n">
        <f aca="false">Algae_electricity_factor/AC99</f>
        <v>0.000893841740536956</v>
      </c>
      <c r="AZ99" s="211" t="n">
        <f aca="false">Algae_yield_cost_factor/H99</f>
        <v>0.0986345965692715</v>
      </c>
      <c r="BA99" s="18" t="n">
        <f aca="false">Algae_yield_cost_factor/I99</f>
        <v>0.0986345965692715</v>
      </c>
      <c r="BB99" s="18" t="n">
        <f aca="false">Algae_yield_cost_factor/J99</f>
        <v>0.0986345965692715</v>
      </c>
      <c r="BC99" s="18" t="n">
        <f aca="false">Algae_yield_cost_factor/K99</f>
        <v>0.0986345965692715</v>
      </c>
      <c r="BD99" s="18" t="n">
        <f aca="false">Algae_yield_cost_factor/L99</f>
        <v>0.0986345965692715</v>
      </c>
      <c r="BE99" s="18" t="n">
        <f aca="false">Algae_yield_cost_factor/M99</f>
        <v>0.0941685699151622</v>
      </c>
      <c r="BF99" s="18" t="n">
        <f aca="false">Algae_yield_cost_factor/N99</f>
        <v>0.0916799243626366</v>
      </c>
      <c r="BG99" s="18" t="n">
        <f aca="false">Algae_yield_cost_factor/O99</f>
        <v>0.0881293236717642</v>
      </c>
      <c r="BH99" s="18" t="n">
        <f aca="false">Algae_yield_cost_factor/P99</f>
        <v>0.0834171747678078</v>
      </c>
      <c r="BI99" s="18" t="n">
        <f aca="false">Algae_yield_cost_factor/Q99</f>
        <v>0.0777298265374472</v>
      </c>
      <c r="BJ99" s="18" t="n">
        <f aca="false">Algae_yield_cost_factor/R99</f>
        <v>0.0716019488958729</v>
      </c>
      <c r="BK99" s="18" t="n">
        <f aca="false">Algae_yield_cost_factor/S99</f>
        <v>0.0657563977128477</v>
      </c>
      <c r="BL99" s="18" t="n">
        <f aca="false">Algae_yield_cost_factor/T99</f>
        <v>0.0607932628401889</v>
      </c>
      <c r="BM99" s="18" t="n">
        <f aca="false">Algae_yield_cost_factor/U99</f>
        <v>0.0569793522801134</v>
      </c>
      <c r="BN99" s="18" t="n">
        <f aca="false">Algae_yield_cost_factor/V99</f>
        <v>0.054267155410232</v>
      </c>
      <c r="BO99" s="18" t="n">
        <f aca="false">Algae_yield_cost_factor/W99</f>
        <v>0.0524429762913697</v>
      </c>
      <c r="BP99" s="18" t="n">
        <f aca="false">Algae_yield_cost_factor/X99</f>
        <v>0.0512616042877549</v>
      </c>
      <c r="BQ99" s="18" t="n">
        <f aca="false">Algae_yield_cost_factor/Y99</f>
        <v>0.050515161096489</v>
      </c>
      <c r="BR99" s="18" t="n">
        <f aca="false">Algae_yield_cost_factor/Z99</f>
        <v>0.0500508493067258</v>
      </c>
      <c r="BS99" s="18" t="n">
        <f aca="false">Algae_yield_cost_factor/AA99</f>
        <v>0.0497648387034608</v>
      </c>
      <c r="BT99" s="18" t="n">
        <f aca="false">Algae_yield_cost_factor/AB99</f>
        <v>0.0495897179778809</v>
      </c>
      <c r="BU99" s="18" t="n">
        <f aca="false">Algae_yield_cost_factor/AC99</f>
        <v>0.0494828890846088</v>
      </c>
    </row>
    <row r="100" customFormat="false" ht="15" hidden="false" customHeight="false" outlineLevel="0" collapsed="false">
      <c r="A100" s="18" t="s">
        <v>705</v>
      </c>
      <c r="B100" s="18" t="s">
        <v>22</v>
      </c>
      <c r="C100" s="18" t="s">
        <v>687</v>
      </c>
      <c r="D100" s="18" t="s">
        <v>687</v>
      </c>
      <c r="E100" s="185" t="n">
        <v>8.06025</v>
      </c>
      <c r="F100" s="18" t="n">
        <f aca="false">E100/$B$2*$F$3/1000</f>
        <v>0.0197476125</v>
      </c>
      <c r="G100" s="18" t="n">
        <f aca="false">LOOKUP(RIGHT(D100,5),Ref!$C$4:$C$21,Ref!$E$4:$E$21)*$G$3</f>
        <v>4.5</v>
      </c>
      <c r="H100" s="222" t="n">
        <f aca="false">$E100</f>
        <v>8.06025</v>
      </c>
      <c r="I100" s="185" t="n">
        <f aca="false">$E100</f>
        <v>8.06025</v>
      </c>
      <c r="J100" s="185" t="n">
        <f aca="false">$E100</f>
        <v>8.06025</v>
      </c>
      <c r="K100" s="185" t="n">
        <f aca="false">$E100</f>
        <v>8.06025</v>
      </c>
      <c r="L100" s="185" t="n">
        <f aca="false">$E100</f>
        <v>8.06025</v>
      </c>
      <c r="M100" s="185" t="n">
        <f aca="false">M$3*$E100</f>
        <v>8.44251439427948</v>
      </c>
      <c r="N100" s="185" t="n">
        <f aca="false">N$3*$E100</f>
        <v>8.67168589551623</v>
      </c>
      <c r="O100" s="185" t="n">
        <f aca="false">O$3*$E100</f>
        <v>9.02105535222877</v>
      </c>
      <c r="P100" s="185" t="n">
        <f aca="false">P$3*$E100</f>
        <v>9.53064532826018</v>
      </c>
      <c r="Q100" s="185" t="n">
        <f aca="false">Q$3*$E100</f>
        <v>10.2279850915975</v>
      </c>
      <c r="R100" s="185" t="n">
        <f aca="false">R$3*$E100</f>
        <v>11.1033221756803</v>
      </c>
      <c r="S100" s="185" t="n">
        <f aca="false">S$3*$E100</f>
        <v>12.090375</v>
      </c>
      <c r="T100" s="185" t="n">
        <f aca="false">T$3*$E100</f>
        <v>13.0774278243197</v>
      </c>
      <c r="U100" s="185" t="n">
        <f aca="false">U$3*$E100</f>
        <v>13.9527649084025</v>
      </c>
      <c r="V100" s="185" t="n">
        <f aca="false">V$3*$E100</f>
        <v>14.6501046717398</v>
      </c>
      <c r="W100" s="185" t="n">
        <f aca="false">W$3*$E100</f>
        <v>15.1596946477712</v>
      </c>
      <c r="X100" s="185" t="n">
        <f aca="false">X$3*$E100</f>
        <v>15.5090641044838</v>
      </c>
      <c r="Y100" s="185" t="n">
        <f aca="false">Y$3*$E100</f>
        <v>15.7382356057205</v>
      </c>
      <c r="Z100" s="185" t="n">
        <f aca="false">Z$3*$E100</f>
        <v>15.8842360920864</v>
      </c>
      <c r="AA100" s="185" t="n">
        <f aca="false">AA$3*$E100</f>
        <v>15.9755266511531</v>
      </c>
      <c r="AB100" s="185" t="n">
        <f aca="false">AB$3*$E100</f>
        <v>16.0319424956618</v>
      </c>
      <c r="AC100" s="185" t="n">
        <f aca="false">AC$3*$E100</f>
        <v>16.0665539483375</v>
      </c>
      <c r="AD100" s="219" t="n">
        <f aca="false">Algae_electricity_factor/H100</f>
        <v>0.00170510804299237</v>
      </c>
      <c r="AE100" s="220" t="n">
        <f aca="false">Algae_electricity_factor/I100</f>
        <v>0.00170510804299237</v>
      </c>
      <c r="AF100" s="220" t="n">
        <f aca="false">Algae_electricity_factor/J100</f>
        <v>0.00170510804299237</v>
      </c>
      <c r="AG100" s="220" t="n">
        <f aca="false">Algae_electricity_factor/K100</f>
        <v>0.00170510804299237</v>
      </c>
      <c r="AH100" s="220" t="n">
        <f aca="false">Algae_electricity_factor/L100</f>
        <v>0.00170510804299237</v>
      </c>
      <c r="AI100" s="220" t="n">
        <f aca="false">Algae_electricity_factor/M100</f>
        <v>0.00162790330719977</v>
      </c>
      <c r="AJ100" s="220" t="n">
        <f aca="false">Algae_electricity_factor/N100</f>
        <v>0.0015848817945119</v>
      </c>
      <c r="AK100" s="220" t="n">
        <f aca="false">Algae_electricity_factor/O100</f>
        <v>0.00152350213660242</v>
      </c>
      <c r="AL100" s="220" t="n">
        <f aca="false">Algae_electricity_factor/P100</f>
        <v>0.00144204265610188</v>
      </c>
      <c r="AM100" s="220" t="n">
        <f aca="false">Algae_electricity_factor/Q100</f>
        <v>0.00134372478845515</v>
      </c>
      <c r="AN100" s="220" t="n">
        <f aca="false">Algae_electricity_factor/R100</f>
        <v>0.00123779143629931</v>
      </c>
      <c r="AO100" s="220" t="n">
        <f aca="false">Algae_electricity_factor/S100</f>
        <v>0.00113673869532825</v>
      </c>
      <c r="AP100" s="220" t="n">
        <f aca="false">Algae_electricity_factor/T100</f>
        <v>0.00105094039043142</v>
      </c>
      <c r="AQ100" s="220" t="n">
        <f aca="false">Algae_electricity_factor/U100</f>
        <v>0.000985008863386835</v>
      </c>
      <c r="AR100" s="220" t="n">
        <f aca="false">Algae_electricity_factor/V100</f>
        <v>0.000938122792394841</v>
      </c>
      <c r="AS100" s="220" t="n">
        <f aca="false">Algae_electricity_factor/W100</f>
        <v>0.000906587990250176</v>
      </c>
      <c r="AT100" s="220" t="n">
        <f aca="false">Algae_electricity_factor/X100</f>
        <v>0.000886165471426216</v>
      </c>
      <c r="AU100" s="220" t="n">
        <f aca="false">Algae_electricity_factor/Y100</f>
        <v>0.000873261618890351</v>
      </c>
      <c r="AV100" s="220" t="n">
        <f aca="false">Algae_electricity_factor/Z100</f>
        <v>0.000865235005564819</v>
      </c>
      <c r="AW100" s="220" t="n">
        <f aca="false">Algae_electricity_factor/AA100</f>
        <v>0.000860290706130636</v>
      </c>
      <c r="AX100" s="220" t="n">
        <f aca="false">Algae_electricity_factor/AB100</f>
        <v>0.000857263373246771</v>
      </c>
      <c r="AY100" s="220" t="n">
        <f aca="false">Algae_electricity_factor/AC100</f>
        <v>0.000855416609418684</v>
      </c>
      <c r="AZ100" s="211" t="n">
        <f aca="false">Algae_yield_cost_factor/H100</f>
        <v>0.0943944194393744</v>
      </c>
      <c r="BA100" s="18" t="n">
        <f aca="false">Algae_yield_cost_factor/I100</f>
        <v>0.0943944194393744</v>
      </c>
      <c r="BB100" s="18" t="n">
        <f aca="false">Algae_yield_cost_factor/J100</f>
        <v>0.0943944194393744</v>
      </c>
      <c r="BC100" s="18" t="n">
        <f aca="false">Algae_yield_cost_factor/K100</f>
        <v>0.0943944194393744</v>
      </c>
      <c r="BD100" s="18" t="n">
        <f aca="false">Algae_yield_cost_factor/L100</f>
        <v>0.0943944194393744</v>
      </c>
      <c r="BE100" s="18" t="n">
        <f aca="false">Algae_yield_cost_factor/M100</f>
        <v>0.0901203816485943</v>
      </c>
      <c r="BF100" s="18" t="n">
        <f aca="false">Algae_yield_cost_factor/N100</f>
        <v>0.0877387198352766</v>
      </c>
      <c r="BG100" s="18" t="n">
        <f aca="false">Algae_yield_cost_factor/O100</f>
        <v>0.0843407549980548</v>
      </c>
      <c r="BH100" s="18" t="n">
        <f aca="false">Algae_yield_cost_factor/P100</f>
        <v>0.0798311754430914</v>
      </c>
      <c r="BI100" s="18" t="n">
        <f aca="false">Algae_yield_cost_factor/Q100</f>
        <v>0.0743883191530329</v>
      </c>
      <c r="BJ100" s="18" t="n">
        <f aca="false">Algae_yield_cost_factor/R100</f>
        <v>0.0685238712565417</v>
      </c>
      <c r="BK100" s="18" t="n">
        <f aca="false">Algae_yield_cost_factor/S100</f>
        <v>0.062929612959583</v>
      </c>
      <c r="BL100" s="18" t="n">
        <f aca="false">Algae_yield_cost_factor/T100</f>
        <v>0.0581798370067315</v>
      </c>
      <c r="BM100" s="18" t="n">
        <f aca="false">Algae_yield_cost_factor/U100</f>
        <v>0.0545298816600881</v>
      </c>
      <c r="BN100" s="18" t="n">
        <f aca="false">Algae_yield_cost_factor/V100</f>
        <v>0.0519342787191064</v>
      </c>
      <c r="BO100" s="18" t="n">
        <f aca="false">Algae_yield_cost_factor/W100</f>
        <v>0.0501885187640027</v>
      </c>
      <c r="BP100" s="18" t="n">
        <f aca="false">Algae_yield_cost_factor/X100</f>
        <v>0.0490579324555279</v>
      </c>
      <c r="BQ100" s="18" t="n">
        <f aca="false">Algae_yield_cost_factor/Y100</f>
        <v>0.0483435779173154</v>
      </c>
      <c r="BR100" s="18" t="n">
        <f aca="false">Algae_yield_cost_factor/Z100</f>
        <v>0.0478992263068461</v>
      </c>
      <c r="BS100" s="18" t="n">
        <f aca="false">Algae_yield_cost_factor/AA100</f>
        <v>0.0476255109393407</v>
      </c>
      <c r="BT100" s="18" t="n">
        <f aca="false">Algae_yield_cost_factor/AB100</f>
        <v>0.0474579184332841</v>
      </c>
      <c r="BU100" s="18" t="n">
        <f aca="false">Algae_yield_cost_factor/AC100</f>
        <v>0.047355681979641</v>
      </c>
    </row>
    <row r="101" customFormat="false" ht="15" hidden="false" customHeight="false" outlineLevel="0" collapsed="false">
      <c r="A101" s="18" t="s">
        <v>706</v>
      </c>
      <c r="B101" s="18" t="s">
        <v>22</v>
      </c>
      <c r="C101" s="18" t="s">
        <v>693</v>
      </c>
      <c r="D101" s="18" t="s">
        <v>693</v>
      </c>
      <c r="E101" s="185" t="n">
        <v>7.7715</v>
      </c>
      <c r="F101" s="18" t="n">
        <f aca="false">E101/$B$2*$F$3/1000</f>
        <v>0.019040175</v>
      </c>
      <c r="G101" s="18" t="n">
        <f aca="false">LOOKUP(RIGHT(D101,5),Ref!$C$4:$C$21,Ref!$E$4:$E$21)*$G$3</f>
        <v>3</v>
      </c>
      <c r="H101" s="222" t="n">
        <f aca="false">$E101</f>
        <v>7.7715</v>
      </c>
      <c r="I101" s="185" t="n">
        <f aca="false">$E101</f>
        <v>7.7715</v>
      </c>
      <c r="J101" s="185" t="n">
        <f aca="false">$E101</f>
        <v>7.7715</v>
      </c>
      <c r="K101" s="185" t="n">
        <f aca="false">$E101</f>
        <v>7.7715</v>
      </c>
      <c r="L101" s="185" t="n">
        <f aca="false">$E101</f>
        <v>7.7715</v>
      </c>
      <c r="M101" s="185" t="n">
        <f aca="false">M$3*$E101</f>
        <v>8.14007017339946</v>
      </c>
      <c r="N101" s="185" t="n">
        <f aca="false">N$3*$E101</f>
        <v>8.36103184603509</v>
      </c>
      <c r="O101" s="185" t="n">
        <f aca="false">O$3*$E101</f>
        <v>8.69788550849489</v>
      </c>
      <c r="P101" s="185" t="n">
        <f aca="false">P$3*$E101</f>
        <v>9.1892199582611</v>
      </c>
      <c r="Q101" s="185" t="n">
        <f aca="false">Q$3*$E101</f>
        <v>9.86157825617692</v>
      </c>
      <c r="R101" s="185" t="n">
        <f aca="false">R$3*$E101</f>
        <v>10.7055573075648</v>
      </c>
      <c r="S101" s="185" t="n">
        <f aca="false">S$3*$E101</f>
        <v>11.65725</v>
      </c>
      <c r="T101" s="185" t="n">
        <f aca="false">T$3*$E101</f>
        <v>12.6089426924352</v>
      </c>
      <c r="U101" s="185" t="n">
        <f aca="false">U$3*$E101</f>
        <v>13.4529217438231</v>
      </c>
      <c r="V101" s="185" t="n">
        <f aca="false">V$3*$E101</f>
        <v>14.1252800417389</v>
      </c>
      <c r="W101" s="185" t="n">
        <f aca="false">W$3*$E101</f>
        <v>14.6166144915051</v>
      </c>
      <c r="X101" s="185" t="n">
        <f aca="false">X$3*$E101</f>
        <v>14.9534681539649</v>
      </c>
      <c r="Y101" s="185" t="n">
        <f aca="false">Y$3*$E101</f>
        <v>15.1744298266005</v>
      </c>
      <c r="Z101" s="185" t="n">
        <f aca="false">Z$3*$E101</f>
        <v>15.3151999987158</v>
      </c>
      <c r="AA101" s="185" t="n">
        <f aca="false">AA$3*$E101</f>
        <v>15.4032201692796</v>
      </c>
      <c r="AB101" s="185" t="n">
        <f aca="false">AB$3*$E101</f>
        <v>15.4576149753463</v>
      </c>
      <c r="AC101" s="185" t="n">
        <f aca="false">AC$3*$E101</f>
        <v>15.4909865090419</v>
      </c>
      <c r="AD101" s="219" t="n">
        <f aca="false">Algae_electricity_factor/H101</f>
        <v>0.00176846131422882</v>
      </c>
      <c r="AE101" s="220" t="n">
        <f aca="false">Algae_electricity_factor/I101</f>
        <v>0.00176846131422882</v>
      </c>
      <c r="AF101" s="220" t="n">
        <f aca="false">Algae_electricity_factor/J101</f>
        <v>0.00176846131422882</v>
      </c>
      <c r="AG101" s="220" t="n">
        <f aca="false">Algae_electricity_factor/K101</f>
        <v>0.00176846131422882</v>
      </c>
      <c r="AH101" s="220" t="n">
        <f aca="false">Algae_electricity_factor/L101</f>
        <v>0.00176846131422882</v>
      </c>
      <c r="AI101" s="220" t="n">
        <f aca="false">Algae_electricity_factor/M101</f>
        <v>0.00168838803729743</v>
      </c>
      <c r="AJ101" s="220" t="n">
        <f aca="false">Algae_electricity_factor/N101</f>
        <v>0.00164376806076234</v>
      </c>
      <c r="AK101" s="220" t="n">
        <f aca="false">Algae_electricity_factor/O101</f>
        <v>0.00158010784231483</v>
      </c>
      <c r="AL101" s="220" t="n">
        <f aca="false">Algae_electricity_factor/P101</f>
        <v>0.00149562173568103</v>
      </c>
      <c r="AM101" s="220" t="n">
        <f aca="false">Algae_electricity_factor/Q101</f>
        <v>0.0013936508687056</v>
      </c>
      <c r="AN101" s="220" t="n">
        <f aca="false">Algae_electricity_factor/R101</f>
        <v>0.00128378156397498</v>
      </c>
      <c r="AO101" s="220" t="n">
        <f aca="false">Algae_electricity_factor/S101</f>
        <v>0.00117897420948588</v>
      </c>
      <c r="AP101" s="220" t="n">
        <f aca="false">Algae_electricity_factor/T101</f>
        <v>0.00108998806948142</v>
      </c>
      <c r="AQ101" s="220" t="n">
        <f aca="false">Algae_electricity_factor/U101</f>
        <v>0.0010216068572494</v>
      </c>
      <c r="AR101" s="220" t="n">
        <f aca="false">Algae_electricity_factor/V101</f>
        <v>0.000972978734787431</v>
      </c>
      <c r="AS101" s="220" t="n">
        <f aca="false">Algae_electricity_factor/W101</f>
        <v>0.000940272257403845</v>
      </c>
      <c r="AT101" s="220" t="n">
        <f aca="false">Algae_electricity_factor/X101</f>
        <v>0.00091909094010978</v>
      </c>
      <c r="AU101" s="220" t="n">
        <f aca="false">Algae_electricity_factor/Y101</f>
        <v>0.000905707645069929</v>
      </c>
      <c r="AV101" s="220" t="n">
        <f aca="false">Algae_electricity_factor/Z101</f>
        <v>0.000897382803011495</v>
      </c>
      <c r="AW101" s="220" t="n">
        <f aca="false">Algae_electricity_factor/AA101</f>
        <v>0.000892254798184323</v>
      </c>
      <c r="AX101" s="220" t="n">
        <f aca="false">Algae_electricity_factor/AB101</f>
        <v>0.000889114984779294</v>
      </c>
      <c r="AY101" s="220" t="n">
        <f aca="false">Algae_electricity_factor/AC101</f>
        <v>0.000887199604460779</v>
      </c>
      <c r="AZ101" s="211" t="n">
        <f aca="false">Algae_yield_cost_factor/H101</f>
        <v>0.0979016430915805</v>
      </c>
      <c r="BA101" s="18" t="n">
        <f aca="false">Algae_yield_cost_factor/I101</f>
        <v>0.0979016430915805</v>
      </c>
      <c r="BB101" s="18" t="n">
        <f aca="false">Algae_yield_cost_factor/J101</f>
        <v>0.0979016430915805</v>
      </c>
      <c r="BC101" s="18" t="n">
        <f aca="false">Algae_yield_cost_factor/K101</f>
        <v>0.0979016430915805</v>
      </c>
      <c r="BD101" s="18" t="n">
        <f aca="false">Algae_yield_cost_factor/L101</f>
        <v>0.0979016430915805</v>
      </c>
      <c r="BE101" s="18" t="n">
        <f aca="false">Algae_yield_cost_factor/M101</f>
        <v>0.0934688034720559</v>
      </c>
      <c r="BF101" s="18" t="n">
        <f aca="false">Algae_yield_cost_factor/N101</f>
        <v>0.0909986510393474</v>
      </c>
      <c r="BG101" s="18" t="n">
        <f aca="false">Algae_yield_cost_factor/O101</f>
        <v>0.0874744348546704</v>
      </c>
      <c r="BH101" s="18" t="n">
        <f aca="false">Algae_yield_cost_factor/P101</f>
        <v>0.0827973019192147</v>
      </c>
      <c r="BI101" s="18" t="n">
        <f aca="false">Algae_yield_cost_factor/Q101</f>
        <v>0.0771522163614789</v>
      </c>
      <c r="BJ101" s="18" t="n">
        <f aca="false">Algae_yield_cost_factor/R101</f>
        <v>0.0710698749656489</v>
      </c>
      <c r="BK101" s="18" t="n">
        <f aca="false">Algae_yield_cost_factor/S101</f>
        <v>0.0652677620610537</v>
      </c>
      <c r="BL101" s="18" t="n">
        <f aca="false">Algae_yield_cost_factor/T101</f>
        <v>0.0603415082330962</v>
      </c>
      <c r="BM101" s="18" t="n">
        <f aca="false">Algae_yield_cost_factor/U101</f>
        <v>0.0565559388342952</v>
      </c>
      <c r="BN101" s="18" t="n">
        <f aca="false">Algae_yield_cost_factor/V101</f>
        <v>0.0538638962935955</v>
      </c>
      <c r="BO101" s="18" t="n">
        <f aca="false">Algae_yield_cost_factor/W101</f>
        <v>0.0520532726458924</v>
      </c>
      <c r="BP101" s="18" t="n">
        <f aca="false">Algae_yield_cost_factor/X101</f>
        <v>0.0508806794151282</v>
      </c>
      <c r="BQ101" s="18" t="n">
        <f aca="false">Algae_yield_cost_factor/Y101</f>
        <v>0.0501397830416318</v>
      </c>
      <c r="BR101" s="18" t="n">
        <f aca="false">Algae_yield_cost_factor/Z101</f>
        <v>0.0496789215517926</v>
      </c>
      <c r="BS101" s="18" t="n">
        <f aca="false">Algae_yield_cost_factor/AA101</f>
        <v>0.0493950362927132</v>
      </c>
      <c r="BT101" s="18" t="n">
        <f aca="false">Algae_yield_cost_factor/AB101</f>
        <v>0.0492212168888733</v>
      </c>
      <c r="BU101" s="18" t="n">
        <f aca="false">Algae_yield_cost_factor/AC101</f>
        <v>0.0491151818408803</v>
      </c>
    </row>
    <row r="102" customFormat="false" ht="15" hidden="false" customHeight="false" outlineLevel="0" collapsed="false">
      <c r="A102" s="18" t="s">
        <v>706</v>
      </c>
      <c r="B102" s="18" t="s">
        <v>22</v>
      </c>
      <c r="C102" s="18" t="s">
        <v>684</v>
      </c>
      <c r="D102" s="18" t="s">
        <v>684</v>
      </c>
      <c r="E102" s="185" t="n">
        <v>7.61475</v>
      </c>
      <c r="F102" s="18" t="n">
        <f aca="false">E102/$B$2*$F$3/1000</f>
        <v>0.0186561375</v>
      </c>
      <c r="G102" s="18" t="n">
        <f aca="false">LOOKUP(RIGHT(D102,5),Ref!$C$4:$C$21,Ref!$E$4:$E$21)*$G$3</f>
        <v>3.5</v>
      </c>
      <c r="H102" s="222" t="n">
        <f aca="false">$E102</f>
        <v>7.61475</v>
      </c>
      <c r="I102" s="185" t="n">
        <f aca="false">$E102</f>
        <v>7.61475</v>
      </c>
      <c r="J102" s="185" t="n">
        <f aca="false">$E102</f>
        <v>7.61475</v>
      </c>
      <c r="K102" s="185" t="n">
        <f aca="false">$E102</f>
        <v>7.61475</v>
      </c>
      <c r="L102" s="185" t="n">
        <f aca="false">$E102</f>
        <v>7.61475</v>
      </c>
      <c r="M102" s="185" t="n">
        <f aca="false">M$3*$E102</f>
        <v>7.97588616777888</v>
      </c>
      <c r="N102" s="185" t="n">
        <f aca="false">N$3*$E102</f>
        <v>8.19239107631677</v>
      </c>
      <c r="O102" s="185" t="n">
        <f aca="false">O$3*$E102</f>
        <v>8.52245045046792</v>
      </c>
      <c r="P102" s="185" t="n">
        <f aca="false">P$3*$E102</f>
        <v>9.00387475740445</v>
      </c>
      <c r="Q102" s="185" t="n">
        <f aca="false">Q$3*$E102</f>
        <v>9.66267168837717</v>
      </c>
      <c r="R102" s="185" t="n">
        <f aca="false">R$3*$E102</f>
        <v>10.4896278077307</v>
      </c>
      <c r="S102" s="185" t="n">
        <f aca="false">S$3*$E102</f>
        <v>11.422125</v>
      </c>
      <c r="T102" s="185" t="n">
        <f aca="false">T$3*$E102</f>
        <v>12.3546221922693</v>
      </c>
      <c r="U102" s="185" t="n">
        <f aca="false">U$3*$E102</f>
        <v>13.1815783116228</v>
      </c>
      <c r="V102" s="185" t="n">
        <f aca="false">V$3*$E102</f>
        <v>13.8403752425955</v>
      </c>
      <c r="W102" s="185" t="n">
        <f aca="false">W$3*$E102</f>
        <v>14.3217995495321</v>
      </c>
      <c r="X102" s="185" t="n">
        <f aca="false">X$3*$E102</f>
        <v>14.6518589236832</v>
      </c>
      <c r="Y102" s="185" t="n">
        <f aca="false">Y$3*$E102</f>
        <v>14.8683638322211</v>
      </c>
      <c r="Z102" s="185" t="n">
        <f aca="false">Z$3*$E102</f>
        <v>15.0062946908861</v>
      </c>
      <c r="AA102" s="185" t="n">
        <f aca="false">AA$3*$E102</f>
        <v>15.0925395076912</v>
      </c>
      <c r="AB102" s="185" t="n">
        <f aca="false">AB$3*$E102</f>
        <v>15.1458371786037</v>
      </c>
      <c r="AC102" s="185" t="n">
        <f aca="false">AC$3*$E102</f>
        <v>15.1785356134243</v>
      </c>
      <c r="AD102" s="219" t="n">
        <f aca="false">Algae_electricity_factor/H102</f>
        <v>0.00180486517660189</v>
      </c>
      <c r="AE102" s="220" t="n">
        <f aca="false">Algae_electricity_factor/I102</f>
        <v>0.00180486517660189</v>
      </c>
      <c r="AF102" s="220" t="n">
        <f aca="false">Algae_electricity_factor/J102</f>
        <v>0.00180486517660189</v>
      </c>
      <c r="AG102" s="220" t="n">
        <f aca="false">Algae_electricity_factor/K102</f>
        <v>0.00180486517660189</v>
      </c>
      <c r="AH102" s="220" t="n">
        <f aca="false">Algae_electricity_factor/L102</f>
        <v>0.00180486517660189</v>
      </c>
      <c r="AI102" s="220" t="n">
        <f aca="false">Algae_electricity_factor/M102</f>
        <v>0.00172314358736097</v>
      </c>
      <c r="AJ102" s="220" t="n">
        <f aca="false">Algae_electricity_factor/N102</f>
        <v>0.0016776051064335</v>
      </c>
      <c r="AK102" s="220" t="n">
        <f aca="false">Algae_electricity_factor/O102</f>
        <v>0.00161263443928556</v>
      </c>
      <c r="AL102" s="220" t="n">
        <f aca="false">Algae_electricity_factor/P102</f>
        <v>0.00152640918202766</v>
      </c>
      <c r="AM102" s="220" t="n">
        <f aca="false">Algae_electricity_factor/Q102</f>
        <v>0.00142233923978405</v>
      </c>
      <c r="AN102" s="220" t="n">
        <f aca="false">Algae_electricity_factor/R102</f>
        <v>0.00131020827005897</v>
      </c>
      <c r="AO102" s="220" t="n">
        <f aca="false">Algae_electricity_factor/S102</f>
        <v>0.00120324345106793</v>
      </c>
      <c r="AP102" s="220" t="n">
        <f aca="false">Algae_electricity_factor/T102</f>
        <v>0.00111242552703304</v>
      </c>
      <c r="AQ102" s="220" t="n">
        <f aca="false">Algae_electricity_factor/U102</f>
        <v>0.00104263668421337</v>
      </c>
      <c r="AR102" s="220" t="n">
        <f aca="false">Algae_electricity_factor/V102</f>
        <v>0.000993007549479696</v>
      </c>
      <c r="AS102" s="220" t="n">
        <f aca="false">Algae_electricity_factor/W102</f>
        <v>0.000959627807664595</v>
      </c>
      <c r="AT102" s="220" t="n">
        <f aca="false">Algae_electricity_factor/X102</f>
        <v>0.000938010471921357</v>
      </c>
      <c r="AU102" s="220" t="n">
        <f aca="false">Algae_electricity_factor/Y102</f>
        <v>0.00092435168110062</v>
      </c>
      <c r="AV102" s="220" t="n">
        <f aca="false">Algae_electricity_factor/Z102</f>
        <v>0.000915855471762544</v>
      </c>
      <c r="AW102" s="220" t="n">
        <f aca="false">Algae_electricity_factor/AA102</f>
        <v>0.000910621906705993</v>
      </c>
      <c r="AX102" s="220" t="n">
        <f aca="false">Algae_electricity_factor/AB102</f>
        <v>0.000907417460088944</v>
      </c>
      <c r="AY102" s="220" t="n">
        <f aca="false">Algae_electricity_factor/AC102</f>
        <v>0.00090546265157319</v>
      </c>
      <c r="AZ102" s="211" t="n">
        <f aca="false">Algae_yield_cost_factor/H102</f>
        <v>0.0999169531877235</v>
      </c>
      <c r="BA102" s="18" t="n">
        <f aca="false">Algae_yield_cost_factor/I102</f>
        <v>0.0999169531877235</v>
      </c>
      <c r="BB102" s="18" t="n">
        <f aca="false">Algae_yield_cost_factor/J102</f>
        <v>0.0999169531877235</v>
      </c>
      <c r="BC102" s="18" t="n">
        <f aca="false">Algae_yield_cost_factor/K102</f>
        <v>0.0999169531877235</v>
      </c>
      <c r="BD102" s="18" t="n">
        <f aca="false">Algae_yield_cost_factor/L102</f>
        <v>0.0999169531877235</v>
      </c>
      <c r="BE102" s="18" t="n">
        <f aca="false">Algae_yield_cost_factor/M102</f>
        <v>0.095392863348512</v>
      </c>
      <c r="BF102" s="18" t="n">
        <f aca="false">Algae_yield_cost_factor/N102</f>
        <v>0.0928718627075463</v>
      </c>
      <c r="BG102" s="18" t="n">
        <f aca="false">Algae_yield_cost_factor/O102</f>
        <v>0.0892751003608879</v>
      </c>
      <c r="BH102" s="18" t="n">
        <f aca="false">Algae_yield_cost_factor/P102</f>
        <v>0.0845016884159266</v>
      </c>
      <c r="BI102" s="18" t="n">
        <f aca="false">Algae_yield_cost_factor/Q102</f>
        <v>0.078740398496764</v>
      </c>
      <c r="BJ102" s="18" t="n">
        <f aca="false">Algae_yield_cost_factor/R102</f>
        <v>0.0725328518067619</v>
      </c>
      <c r="BK102" s="18" t="n">
        <f aca="false">Algae_yield_cost_factor/S102</f>
        <v>0.066611302125149</v>
      </c>
      <c r="BL102" s="18" t="n">
        <f aca="false">Algae_yield_cost_factor/T102</f>
        <v>0.0615836411219682</v>
      </c>
      <c r="BM102" s="18" t="n">
        <f aca="false">Algae_yield_cost_factor/U102</f>
        <v>0.0577201455925309</v>
      </c>
      <c r="BN102" s="18" t="n">
        <f aca="false">Algae_yield_cost_factor/V102</f>
        <v>0.0549726872248829</v>
      </c>
      <c r="BO102" s="18" t="n">
        <f aca="false">Algae_yield_cost_factor/W102</f>
        <v>0.0531247918011166</v>
      </c>
      <c r="BP102" s="18" t="n">
        <f aca="false">Algae_yield_cost_factor/X102</f>
        <v>0.0519280606815285</v>
      </c>
      <c r="BQ102" s="18" t="n">
        <f aca="false">Algae_yield_cost_factor/Y102</f>
        <v>0.0511719129200619</v>
      </c>
      <c r="BR102" s="18" t="n">
        <f aca="false">Algae_yield_cost_factor/Z102</f>
        <v>0.0507015645739855</v>
      </c>
      <c r="BS102" s="18" t="n">
        <f aca="false">Algae_yield_cost_factor/AA102</f>
        <v>0.0504118355230074</v>
      </c>
      <c r="BT102" s="18" t="n">
        <f aca="false">Algae_yield_cost_factor/AB102</f>
        <v>0.050234438038265</v>
      </c>
      <c r="BU102" s="18" t="n">
        <f aca="false">Algae_yield_cost_factor/AC102</f>
        <v>0.0501262202536395</v>
      </c>
    </row>
    <row r="103" customFormat="false" ht="15" hidden="false" customHeight="false" outlineLevel="0" collapsed="false">
      <c r="A103" s="18" t="s">
        <v>706</v>
      </c>
      <c r="B103" s="18" t="s">
        <v>22</v>
      </c>
      <c r="C103" s="18" t="s">
        <v>685</v>
      </c>
      <c r="D103" s="18" t="s">
        <v>685</v>
      </c>
      <c r="E103" s="185" t="n">
        <v>7.623</v>
      </c>
      <c r="F103" s="18" t="n">
        <f aca="false">E103/$B$2*$F$3/1000</f>
        <v>0.01867635</v>
      </c>
      <c r="G103" s="18" t="n">
        <f aca="false">LOOKUP(RIGHT(D103,5),Ref!$C$4:$C$21,Ref!$E$4:$E$21)*$G$3</f>
        <v>4</v>
      </c>
      <c r="H103" s="222" t="n">
        <f aca="false">$E103</f>
        <v>7.623</v>
      </c>
      <c r="I103" s="185" t="n">
        <f aca="false">$E103</f>
        <v>7.623</v>
      </c>
      <c r="J103" s="185" t="n">
        <f aca="false">$E103</f>
        <v>7.623</v>
      </c>
      <c r="K103" s="185" t="n">
        <f aca="false">$E103</f>
        <v>7.623</v>
      </c>
      <c r="L103" s="185" t="n">
        <f aca="false">$E103</f>
        <v>7.623</v>
      </c>
      <c r="M103" s="185" t="n">
        <f aca="false">M$3*$E103</f>
        <v>7.98452743123259</v>
      </c>
      <c r="N103" s="185" t="n">
        <f aca="false">N$3*$E103</f>
        <v>8.20126690630194</v>
      </c>
      <c r="O103" s="185" t="n">
        <f aca="false">O$3*$E103</f>
        <v>8.5316838745746</v>
      </c>
      <c r="P103" s="185" t="n">
        <f aca="false">P$3*$E103</f>
        <v>9.01362976797586</v>
      </c>
      <c r="Q103" s="185" t="n">
        <f aca="false">Q$3*$E103</f>
        <v>9.67314045510347</v>
      </c>
      <c r="R103" s="185" t="n">
        <f aca="false">R$3*$E103</f>
        <v>10.5009925182483</v>
      </c>
      <c r="S103" s="185" t="n">
        <f aca="false">S$3*$E103</f>
        <v>11.4345</v>
      </c>
      <c r="T103" s="185" t="n">
        <f aca="false">T$3*$E103</f>
        <v>12.3680074817517</v>
      </c>
      <c r="U103" s="185" t="n">
        <f aca="false">U$3*$E103</f>
        <v>13.1958595448965</v>
      </c>
      <c r="V103" s="185" t="n">
        <f aca="false">V$3*$E103</f>
        <v>13.8553702320241</v>
      </c>
      <c r="W103" s="185" t="n">
        <f aca="false">W$3*$E103</f>
        <v>14.3373161254254</v>
      </c>
      <c r="X103" s="185" t="n">
        <f aca="false">X$3*$E103</f>
        <v>14.6677330936981</v>
      </c>
      <c r="Y103" s="185" t="n">
        <f aca="false">Y$3*$E103</f>
        <v>14.8844725687674</v>
      </c>
      <c r="Z103" s="185" t="n">
        <f aca="false">Z$3*$E103</f>
        <v>15.0225528649824</v>
      </c>
      <c r="AA103" s="185" t="n">
        <f aca="false">AA$3*$E103</f>
        <v>15.108891121459</v>
      </c>
      <c r="AB103" s="185" t="n">
        <f aca="false">AB$3*$E103</f>
        <v>15.162246536327</v>
      </c>
      <c r="AC103" s="185" t="n">
        <f aca="false">AC$3*$E103</f>
        <v>15.1949803974042</v>
      </c>
      <c r="AD103" s="219" t="n">
        <f aca="false">Algae_electricity_factor/H103</f>
        <v>0.0018029118593112</v>
      </c>
      <c r="AE103" s="220" t="n">
        <f aca="false">Algae_electricity_factor/I103</f>
        <v>0.0018029118593112</v>
      </c>
      <c r="AF103" s="220" t="n">
        <f aca="false">Algae_electricity_factor/J103</f>
        <v>0.0018029118593112</v>
      </c>
      <c r="AG103" s="220" t="n">
        <f aca="false">Algae_electricity_factor/K103</f>
        <v>0.0018029118593112</v>
      </c>
      <c r="AH103" s="220" t="n">
        <f aca="false">Algae_electricity_factor/L103</f>
        <v>0.0018029118593112</v>
      </c>
      <c r="AI103" s="220" t="n">
        <f aca="false">Algae_electricity_factor/M103</f>
        <v>0.00172127871334868</v>
      </c>
      <c r="AJ103" s="220" t="n">
        <f aca="false">Algae_electricity_factor/N103</f>
        <v>0.00167578951649147</v>
      </c>
      <c r="AK103" s="220" t="n">
        <f aca="false">Algae_electricity_factor/O103</f>
        <v>0.00161088916391836</v>
      </c>
      <c r="AL103" s="220" t="n">
        <f aca="false">Algae_electricity_factor/P103</f>
        <v>0.00152475722403846</v>
      </c>
      <c r="AM103" s="220" t="n">
        <f aca="false">Algae_electricity_factor/Q103</f>
        <v>0.00142079991160247</v>
      </c>
      <c r="AN103" s="220" t="n">
        <f aca="false">Algae_electricity_factor/R103</f>
        <v>0.00130879029574072</v>
      </c>
      <c r="AO103" s="220" t="n">
        <f aca="false">Algae_electricity_factor/S103</f>
        <v>0.0012019412395408</v>
      </c>
      <c r="AP103" s="220" t="n">
        <f aca="false">Algae_electricity_factor/T103</f>
        <v>0.00111122160330248</v>
      </c>
      <c r="AQ103" s="220" t="n">
        <f aca="false">Algae_electricity_factor/U103</f>
        <v>0.00104150828953348</v>
      </c>
      <c r="AR103" s="220" t="n">
        <f aca="false">Algae_electricity_factor/V103</f>
        <v>0.000991932865984588</v>
      </c>
      <c r="AS103" s="220" t="n">
        <f aca="false">Algae_electricity_factor/W103</f>
        <v>0.000958589249431192</v>
      </c>
      <c r="AT103" s="220" t="n">
        <f aca="false">Algae_electricity_factor/X103</f>
        <v>0.000936995309072957</v>
      </c>
      <c r="AU103" s="220" t="n">
        <f aca="false">Algae_electricity_factor/Y103</f>
        <v>0.000923351300493369</v>
      </c>
      <c r="AV103" s="220" t="n">
        <f aca="false">Algae_electricity_factor/Z103</f>
        <v>0.000914864286187044</v>
      </c>
      <c r="AW103" s="220" t="n">
        <f aca="false">Algae_electricity_factor/AA103</f>
        <v>0.000909636385161939</v>
      </c>
      <c r="AX103" s="220" t="n">
        <f aca="false">Algae_electricity_factor/AB103</f>
        <v>0.000906435406560709</v>
      </c>
      <c r="AY103" s="220" t="n">
        <f aca="false">Algae_electricity_factor/AC103</f>
        <v>0.000904482713638587</v>
      </c>
      <c r="AZ103" s="211" t="n">
        <f aca="false">Algae_yield_cost_factor/H103</f>
        <v>0.0998088179570009</v>
      </c>
      <c r="BA103" s="18" t="n">
        <f aca="false">Algae_yield_cost_factor/I103</f>
        <v>0.0998088179570009</v>
      </c>
      <c r="BB103" s="18" t="n">
        <f aca="false">Algae_yield_cost_factor/J103</f>
        <v>0.0998088179570009</v>
      </c>
      <c r="BC103" s="18" t="n">
        <f aca="false">Algae_yield_cost_factor/K103</f>
        <v>0.0998088179570009</v>
      </c>
      <c r="BD103" s="18" t="n">
        <f aca="false">Algae_yield_cost_factor/L103</f>
        <v>0.0998088179570009</v>
      </c>
      <c r="BE103" s="18" t="n">
        <f aca="false">Algae_yield_cost_factor/M103</f>
        <v>0.0952896243189141</v>
      </c>
      <c r="BF103" s="18" t="n">
        <f aca="false">Algae_yield_cost_factor/N103</f>
        <v>0.0927713520336204</v>
      </c>
      <c r="BG103" s="18" t="n">
        <f aca="false">Algae_yield_cost_factor/O103</f>
        <v>0.0891784822869043</v>
      </c>
      <c r="BH103" s="18" t="n">
        <f aca="false">Algae_yield_cost_factor/P103</f>
        <v>0.0844102363721864</v>
      </c>
      <c r="BI103" s="18" t="n">
        <f aca="false">Algae_yield_cost_factor/Q103</f>
        <v>0.078655181615274</v>
      </c>
      <c r="BJ103" s="18" t="n">
        <f aca="false">Algae_yield_cost_factor/R103</f>
        <v>0.0724543530493953</v>
      </c>
      <c r="BK103" s="18" t="n">
        <f aca="false">Algae_yield_cost_factor/S103</f>
        <v>0.0665392119713339</v>
      </c>
      <c r="BL103" s="18" t="n">
        <f aca="false">Algae_yield_cost_factor/T103</f>
        <v>0.061516992159715</v>
      </c>
      <c r="BM103" s="18" t="n">
        <f aca="false">Algae_yield_cost_factor/U103</f>
        <v>0.0576576779024957</v>
      </c>
      <c r="BN103" s="18" t="n">
        <f aca="false">Algae_yield_cost_factor/V103</f>
        <v>0.0549131929746395</v>
      </c>
      <c r="BO103" s="18" t="n">
        <f aca="false">Algae_yield_cost_factor/W103</f>
        <v>0.0530672974376955</v>
      </c>
      <c r="BP103" s="18" t="n">
        <f aca="false">Algae_yield_cost_factor/X103</f>
        <v>0.0518718614816567</v>
      </c>
      <c r="BQ103" s="18" t="n">
        <f aca="false">Algae_yield_cost_factor/Y103</f>
        <v>0.0511165320619233</v>
      </c>
      <c r="BR103" s="18" t="n">
        <f aca="false">Algae_yield_cost_factor/Z103</f>
        <v>0.0506466927508535</v>
      </c>
      <c r="BS103" s="18" t="n">
        <f aca="false">Algae_yield_cost_factor/AA103</f>
        <v>0.0503572772594543</v>
      </c>
      <c r="BT103" s="18" t="n">
        <f aca="false">Algae_yield_cost_factor/AB103</f>
        <v>0.0501800717633318</v>
      </c>
      <c r="BU103" s="18" t="n">
        <f aca="false">Algae_yield_cost_factor/AC103</f>
        <v>0.0500719710975208</v>
      </c>
    </row>
    <row r="104" customFormat="false" ht="15" hidden="false" customHeight="false" outlineLevel="0" collapsed="false">
      <c r="A104" s="18" t="s">
        <v>706</v>
      </c>
      <c r="B104" s="18" t="s">
        <v>22</v>
      </c>
      <c r="C104" s="18" t="s">
        <v>686</v>
      </c>
      <c r="D104" s="18" t="s">
        <v>686</v>
      </c>
      <c r="E104" s="185" t="n">
        <v>8.39025</v>
      </c>
      <c r="F104" s="18" t="n">
        <f aca="false">E104/$B$2*$F$3/1000</f>
        <v>0.0205561125</v>
      </c>
      <c r="G104" s="18" t="n">
        <f aca="false">LOOKUP(RIGHT(D104,5),Ref!$C$4:$C$21,Ref!$E$4:$E$21)*$G$3</f>
        <v>4.5</v>
      </c>
      <c r="H104" s="222" t="n">
        <f aca="false">$E104</f>
        <v>8.39025</v>
      </c>
      <c r="I104" s="185" t="n">
        <f aca="false">$E104</f>
        <v>8.39025</v>
      </c>
      <c r="J104" s="185" t="n">
        <f aca="false">$E104</f>
        <v>8.39025</v>
      </c>
      <c r="K104" s="185" t="n">
        <f aca="false">$E104</f>
        <v>8.39025</v>
      </c>
      <c r="L104" s="185" t="n">
        <f aca="false">$E104</f>
        <v>8.39025</v>
      </c>
      <c r="M104" s="185" t="n">
        <f aca="false">M$3*$E104</f>
        <v>8.78816493242808</v>
      </c>
      <c r="N104" s="185" t="n">
        <f aca="false">N$3*$E104</f>
        <v>9.02671909492324</v>
      </c>
      <c r="O104" s="185" t="n">
        <f aca="false">O$3*$E104</f>
        <v>9.39039231649607</v>
      </c>
      <c r="P104" s="185" t="n">
        <f aca="false">P$3*$E104</f>
        <v>9.92084575111628</v>
      </c>
      <c r="Q104" s="185" t="n">
        <f aca="false">Q$3*$E104</f>
        <v>10.6467357606496</v>
      </c>
      <c r="R104" s="185" t="n">
        <f aca="false">R$3*$E104</f>
        <v>11.5579105963836</v>
      </c>
      <c r="S104" s="185" t="n">
        <f aca="false">S$3*$E104</f>
        <v>12.585375</v>
      </c>
      <c r="T104" s="185" t="n">
        <f aca="false">T$3*$E104</f>
        <v>13.6128394036164</v>
      </c>
      <c r="U104" s="185" t="n">
        <f aca="false">U$3*$E104</f>
        <v>14.5240142393504</v>
      </c>
      <c r="V104" s="185" t="n">
        <f aca="false">V$3*$E104</f>
        <v>15.2499042488837</v>
      </c>
      <c r="W104" s="185" t="n">
        <f aca="false">W$3*$E104</f>
        <v>15.7803576835039</v>
      </c>
      <c r="X104" s="185" t="n">
        <f aca="false">X$3*$E104</f>
        <v>16.1440309050768</v>
      </c>
      <c r="Y104" s="185" t="n">
        <f aca="false">Y$3*$E104</f>
        <v>16.3825850675719</v>
      </c>
      <c r="Z104" s="185" t="n">
        <f aca="false">Z$3*$E104</f>
        <v>16.5345630559384</v>
      </c>
      <c r="AA104" s="185" t="n">
        <f aca="false">AA$3*$E104</f>
        <v>16.6295912018656</v>
      </c>
      <c r="AB104" s="185" t="n">
        <f aca="false">AB$3*$E104</f>
        <v>16.6883168045937</v>
      </c>
      <c r="AC104" s="185" t="n">
        <f aca="false">AC$3*$E104</f>
        <v>16.7243453075325</v>
      </c>
      <c r="AD104" s="219" t="n">
        <f aca="false">Algae_electricity_factor/H104</f>
        <v>0.0016380438131795</v>
      </c>
      <c r="AE104" s="220" t="n">
        <f aca="false">Algae_electricity_factor/I104</f>
        <v>0.0016380438131795</v>
      </c>
      <c r="AF104" s="220" t="n">
        <f aca="false">Algae_electricity_factor/J104</f>
        <v>0.0016380438131795</v>
      </c>
      <c r="AG104" s="220" t="n">
        <f aca="false">Algae_electricity_factor/K104</f>
        <v>0.0016380438131795</v>
      </c>
      <c r="AH104" s="220" t="n">
        <f aca="false">Algae_electricity_factor/L104</f>
        <v>0.0016380438131795</v>
      </c>
      <c r="AI104" s="220" t="n">
        <f aca="false">Algae_electricity_factor/M104</f>
        <v>0.00156387564516635</v>
      </c>
      <c r="AJ104" s="220" t="n">
        <f aca="false">Algae_electricity_factor/N104</f>
        <v>0.00152254622737279</v>
      </c>
      <c r="AK104" s="220" t="n">
        <f aca="false">Algae_electricity_factor/O104</f>
        <v>0.00146358071530046</v>
      </c>
      <c r="AL104" s="220" t="n">
        <f aca="false">Algae_electricity_factor/P104</f>
        <v>0.00138532514750397</v>
      </c>
      <c r="AM104" s="220" t="n">
        <f aca="false">Algae_electricity_factor/Q104</f>
        <v>0.0012908742559692</v>
      </c>
      <c r="AN104" s="220" t="n">
        <f aca="false">Algae_electricity_factor/R104</f>
        <v>0.00118910740733965</v>
      </c>
      <c r="AO104" s="220" t="n">
        <f aca="false">Algae_electricity_factor/S104</f>
        <v>0.00109202920878633</v>
      </c>
      <c r="AP104" s="220" t="n">
        <f aca="false">Algae_electricity_factor/T104</f>
        <v>0.00100960546848721</v>
      </c>
      <c r="AQ104" s="220" t="n">
        <f aca="false">Algae_electricity_factor/U104</f>
        <v>0.000946267118514196</v>
      </c>
      <c r="AR104" s="220" t="n">
        <f aca="false">Algae_electricity_factor/V104</f>
        <v>0.000901225140776558</v>
      </c>
      <c r="AS104" s="220" t="n">
        <f aca="false">Algae_electricity_factor/W104</f>
        <v>0.000870930645500906</v>
      </c>
      <c r="AT104" s="220" t="n">
        <f aca="false">Algae_electricity_factor/X104</f>
        <v>0.000851311372255076</v>
      </c>
      <c r="AU104" s="220" t="n">
        <f aca="false">Algae_electricity_factor/Y104</f>
        <v>0.000838915045875981</v>
      </c>
      <c r="AV104" s="220" t="n">
        <f aca="false">Algae_electricity_factor/Z104</f>
        <v>0.000831204130223037</v>
      </c>
      <c r="AW104" s="220" t="n">
        <f aca="false">Algae_electricity_factor/AA104</f>
        <v>0.000826454296843296</v>
      </c>
      <c r="AX104" s="220" t="n">
        <f aca="false">Algae_electricity_factor/AB104</f>
        <v>0.000823546033099406</v>
      </c>
      <c r="AY104" s="220" t="n">
        <f aca="false">Algae_electricity_factor/AC104</f>
        <v>0.000821771905016769</v>
      </c>
      <c r="AZ104" s="211" t="n">
        <f aca="false">Algae_yield_cost_factor/H104</f>
        <v>0.0906817579078356</v>
      </c>
      <c r="BA104" s="18" t="n">
        <f aca="false">Algae_yield_cost_factor/I104</f>
        <v>0.0906817579078356</v>
      </c>
      <c r="BB104" s="18" t="n">
        <f aca="false">Algae_yield_cost_factor/J104</f>
        <v>0.0906817579078356</v>
      </c>
      <c r="BC104" s="18" t="n">
        <f aca="false">Algae_yield_cost_factor/K104</f>
        <v>0.0906817579078356</v>
      </c>
      <c r="BD104" s="18" t="n">
        <f aca="false">Algae_yield_cost_factor/L104</f>
        <v>0.0906817579078356</v>
      </c>
      <c r="BE104" s="18" t="n">
        <f aca="false">Algae_yield_cost_factor/M104</f>
        <v>0.0865758238649721</v>
      </c>
      <c r="BF104" s="18" t="n">
        <f aca="false">Algae_yield_cost_factor/N104</f>
        <v>0.0842878360659442</v>
      </c>
      <c r="BG104" s="18" t="n">
        <f aca="false">Algae_yield_cost_factor/O104</f>
        <v>0.0810235178299897</v>
      </c>
      <c r="BH104" s="18" t="n">
        <f aca="false">Algae_yield_cost_factor/P104</f>
        <v>0.0766913062024585</v>
      </c>
      <c r="BI104" s="18" t="n">
        <f aca="false">Algae_yield_cost_factor/Q104</f>
        <v>0.0714625248893935</v>
      </c>
      <c r="BJ104" s="18" t="n">
        <f aca="false">Algae_yield_cost_factor/R104</f>
        <v>0.0658287337439933</v>
      </c>
      <c r="BK104" s="18" t="n">
        <f aca="false">Algae_yield_cost_factor/S104</f>
        <v>0.0604545052718904</v>
      </c>
      <c r="BL104" s="18" t="n">
        <f aca="false">Algae_yield_cost_factor/T104</f>
        <v>0.0558915444990921</v>
      </c>
      <c r="BM104" s="18" t="n">
        <f aca="false">Algae_yield_cost_factor/U104</f>
        <v>0.0523851468848634</v>
      </c>
      <c r="BN104" s="18" t="n">
        <f aca="false">Algae_yield_cost_factor/V104</f>
        <v>0.0498916325551297</v>
      </c>
      <c r="BO104" s="18" t="n">
        <f aca="false">Algae_yield_cost_factor/W104</f>
        <v>0.0482145357251039</v>
      </c>
      <c r="BP104" s="18" t="n">
        <f aca="false">Algae_yield_cost_factor/X104</f>
        <v>0.0471284169213872</v>
      </c>
      <c r="BQ104" s="18" t="n">
        <f aca="false">Algae_yield_cost_factor/Y104</f>
        <v>0.0464421589235174</v>
      </c>
      <c r="BR104" s="18" t="n">
        <f aca="false">Algae_yield_cost_factor/Z104</f>
        <v>0.046015284269212</v>
      </c>
      <c r="BS104" s="18" t="n">
        <f aca="false">Algae_yield_cost_factor/AA104</f>
        <v>0.0457523345012152</v>
      </c>
      <c r="BT104" s="18" t="n">
        <f aca="false">Algae_yield_cost_factor/AB104</f>
        <v>0.0455913336374814</v>
      </c>
      <c r="BU104" s="18" t="n">
        <f aca="false">Algae_yield_cost_factor/AC104</f>
        <v>0.0454931182832933</v>
      </c>
    </row>
    <row r="105" customFormat="false" ht="15" hidden="false" customHeight="false" outlineLevel="0" collapsed="false">
      <c r="A105" s="18" t="s">
        <v>706</v>
      </c>
      <c r="B105" s="18" t="s">
        <v>22</v>
      </c>
      <c r="C105" s="18" t="s">
        <v>687</v>
      </c>
      <c r="D105" s="18" t="s">
        <v>687</v>
      </c>
      <c r="E105" s="185" t="n">
        <v>8.27475</v>
      </c>
      <c r="F105" s="18" t="n">
        <f aca="false">E105/$B$2*$F$3/1000</f>
        <v>0.0202731375</v>
      </c>
      <c r="G105" s="18" t="n">
        <f aca="false">LOOKUP(RIGHT(D105,5),Ref!$C$4:$C$21,Ref!$E$4:$E$21)*$G$3</f>
        <v>4.5</v>
      </c>
      <c r="H105" s="222" t="n">
        <f aca="false">$E105</f>
        <v>8.27475</v>
      </c>
      <c r="I105" s="185" t="n">
        <f aca="false">$E105</f>
        <v>8.27475</v>
      </c>
      <c r="J105" s="185" t="n">
        <f aca="false">$E105</f>
        <v>8.27475</v>
      </c>
      <c r="K105" s="185" t="n">
        <f aca="false">$E105</f>
        <v>8.27475</v>
      </c>
      <c r="L105" s="185" t="n">
        <f aca="false">$E105</f>
        <v>8.27475</v>
      </c>
      <c r="M105" s="185" t="n">
        <f aca="false">M$3*$E105</f>
        <v>8.66718724407607</v>
      </c>
      <c r="N105" s="185" t="n">
        <f aca="false">N$3*$E105</f>
        <v>8.90245747513078</v>
      </c>
      <c r="O105" s="185" t="n">
        <f aca="false">O$3*$E105</f>
        <v>9.26112437900252</v>
      </c>
      <c r="P105" s="185" t="n">
        <f aca="false">P$3*$E105</f>
        <v>9.78427560311665</v>
      </c>
      <c r="Q105" s="185" t="n">
        <f aca="false">Q$3*$E105</f>
        <v>10.5001730264814</v>
      </c>
      <c r="R105" s="185" t="n">
        <f aca="false">R$3*$E105</f>
        <v>11.3988046491375</v>
      </c>
      <c r="S105" s="185" t="n">
        <f aca="false">S$3*$E105</f>
        <v>12.412125</v>
      </c>
      <c r="T105" s="185" t="n">
        <f aca="false">T$3*$E105</f>
        <v>13.4254453508625</v>
      </c>
      <c r="U105" s="185" t="n">
        <f aca="false">U$3*$E105</f>
        <v>14.3240769735186</v>
      </c>
      <c r="V105" s="185" t="n">
        <f aca="false">V$3*$E105</f>
        <v>15.0399743968834</v>
      </c>
      <c r="W105" s="185" t="n">
        <f aca="false">W$3*$E105</f>
        <v>15.5631256209975</v>
      </c>
      <c r="X105" s="185" t="n">
        <f aca="false">X$3*$E105</f>
        <v>15.9217925248692</v>
      </c>
      <c r="Y105" s="185" t="n">
        <f aca="false">Y$3*$E105</f>
        <v>16.1570627559239</v>
      </c>
      <c r="Z105" s="185" t="n">
        <f aca="false">Z$3*$E105</f>
        <v>16.3069486185902</v>
      </c>
      <c r="AA105" s="185" t="n">
        <f aca="false">AA$3*$E105</f>
        <v>16.4006686091162</v>
      </c>
      <c r="AB105" s="185" t="n">
        <f aca="false">AB$3*$E105</f>
        <v>16.4585857964675</v>
      </c>
      <c r="AC105" s="185" t="n">
        <f aca="false">AC$3*$E105</f>
        <v>16.4941183318143</v>
      </c>
      <c r="AD105" s="219" t="n">
        <f aca="false">Algae_electricity_factor/H105</f>
        <v>0.00166090783450005</v>
      </c>
      <c r="AE105" s="220" t="n">
        <f aca="false">Algae_electricity_factor/I105</f>
        <v>0.00166090783450005</v>
      </c>
      <c r="AF105" s="220" t="n">
        <f aca="false">Algae_electricity_factor/J105</f>
        <v>0.00166090783450005</v>
      </c>
      <c r="AG105" s="220" t="n">
        <f aca="false">Algae_electricity_factor/K105</f>
        <v>0.00166090783450005</v>
      </c>
      <c r="AH105" s="220" t="n">
        <f aca="false">Algae_electricity_factor/L105</f>
        <v>0.00166090783450005</v>
      </c>
      <c r="AI105" s="220" t="n">
        <f aca="false">Algae_electricity_factor/M105</f>
        <v>0.00158570441788054</v>
      </c>
      <c r="AJ105" s="220" t="n">
        <f aca="false">Algae_electricity_factor/N105</f>
        <v>0.00154379811888148</v>
      </c>
      <c r="AK105" s="220" t="n">
        <f aca="false">Algae_electricity_factor/O105</f>
        <v>0.00148400955878421</v>
      </c>
      <c r="AL105" s="220" t="n">
        <f aca="false">Algae_electricity_factor/P105</f>
        <v>0.00140466168994171</v>
      </c>
      <c r="AM105" s="220" t="n">
        <f aca="false">Algae_electricity_factor/Q105</f>
        <v>0.00130889244099769</v>
      </c>
      <c r="AN105" s="220" t="n">
        <f aca="false">Algae_electricity_factor/R105</f>
        <v>0.0012057051179107</v>
      </c>
      <c r="AO105" s="220" t="n">
        <f aca="false">Algae_electricity_factor/S105</f>
        <v>0.0011072718896667</v>
      </c>
      <c r="AP105" s="220" t="n">
        <f aca="false">Algae_electricity_factor/T105</f>
        <v>0.00102369766844616</v>
      </c>
      <c r="AQ105" s="220" t="n">
        <f aca="false">Algae_electricity_factor/U105</f>
        <v>0.000959475233827456</v>
      </c>
      <c r="AR105" s="220" t="n">
        <f aca="false">Algae_electricity_factor/V105</f>
        <v>0.000913804554506241</v>
      </c>
      <c r="AS105" s="220" t="n">
        <f aca="false">Algae_electricity_factor/W105</f>
        <v>0.000883087204859842</v>
      </c>
      <c r="AT105" s="220" t="n">
        <f aca="false">Algae_electricity_factor/X105</f>
        <v>0.000863194083333412</v>
      </c>
      <c r="AU105" s="220" t="n">
        <f aca="false">Algae_electricity_factor/Y105</f>
        <v>0.000850624727473453</v>
      </c>
      <c r="AV105" s="220" t="n">
        <f aca="false">Algae_electricity_factor/Z105</f>
        <v>0.000842806181891155</v>
      </c>
      <c r="AW105" s="220" t="n">
        <f aca="false">Algae_electricity_factor/AA105</f>
        <v>0.000837990049740411</v>
      </c>
      <c r="AX105" s="220" t="n">
        <f aca="false">Algae_electricity_factor/AB105</f>
        <v>0.000835041192085838</v>
      </c>
      <c r="AY105" s="220" t="n">
        <f aca="false">Algae_electricity_factor/AC105</f>
        <v>0.000833242300500552</v>
      </c>
      <c r="AZ105" s="211" t="n">
        <f aca="false">Algae_yield_cost_factor/H105</f>
        <v>0.0919475052764395</v>
      </c>
      <c r="BA105" s="18" t="n">
        <f aca="false">Algae_yield_cost_factor/I105</f>
        <v>0.0919475052764395</v>
      </c>
      <c r="BB105" s="18" t="n">
        <f aca="false">Algae_yield_cost_factor/J105</f>
        <v>0.0919475052764395</v>
      </c>
      <c r="BC105" s="18" t="n">
        <f aca="false">Algae_yield_cost_factor/K105</f>
        <v>0.0919475052764395</v>
      </c>
      <c r="BD105" s="18" t="n">
        <f aca="false">Algae_yield_cost_factor/L105</f>
        <v>0.0919475052764395</v>
      </c>
      <c r="BE105" s="18" t="n">
        <f aca="false">Algae_yield_cost_factor/M105</f>
        <v>0.0877842600904054</v>
      </c>
      <c r="BF105" s="18" t="n">
        <f aca="false">Algae_yield_cost_factor/N105</f>
        <v>0.0854643362702545</v>
      </c>
      <c r="BG105" s="18" t="n">
        <f aca="false">Algae_yield_cost_factor/O105</f>
        <v>0.0821544542702887</v>
      </c>
      <c r="BH105" s="18" t="n">
        <f aca="false">Algae_yield_cost_factor/P105</f>
        <v>0.0777617730886344</v>
      </c>
      <c r="BI105" s="18" t="n">
        <f aca="false">Algae_yield_cost_factor/Q105</f>
        <v>0.0724600077891457</v>
      </c>
      <c r="BJ105" s="18" t="n">
        <f aca="false">Algae_yield_cost_factor/R105</f>
        <v>0.0667475794792036</v>
      </c>
      <c r="BK105" s="18" t="n">
        <f aca="false">Algae_yield_cost_factor/S105</f>
        <v>0.0612983368509597</v>
      </c>
      <c r="BL105" s="18" t="n">
        <f aca="false">Algae_yield_cost_factor/T105</f>
        <v>0.0566716856984812</v>
      </c>
      <c r="BM105" s="18" t="n">
        <f aca="false">Algae_yield_cost_factor/U105</f>
        <v>0.0531163453458685</v>
      </c>
      <c r="BN105" s="18" t="n">
        <f aca="false">Algae_yield_cost_factor/V105</f>
        <v>0.0505880262298773</v>
      </c>
      <c r="BO105" s="18" t="n">
        <f aca="false">Algae_yield_cost_factor/W105</f>
        <v>0.0488875202716158</v>
      </c>
      <c r="BP105" s="18" t="n">
        <f aca="false">Algae_yield_cost_factor/X105</f>
        <v>0.0477862412851952</v>
      </c>
      <c r="BQ105" s="18" t="n">
        <f aca="false">Algae_yield_cost_factor/Y105</f>
        <v>0.0470904044119812</v>
      </c>
      <c r="BR105" s="18" t="n">
        <f aca="false">Algae_yield_cost_factor/Z105</f>
        <v>0.0466575713876257</v>
      </c>
      <c r="BS105" s="18" t="n">
        <f aca="false">Algae_yield_cost_factor/AA105</f>
        <v>0.0463909513337346</v>
      </c>
      <c r="BT105" s="18" t="n">
        <f aca="false">Algae_yield_cost_factor/AB105</f>
        <v>0.0462277031997195</v>
      </c>
      <c r="BU105" s="18" t="n">
        <f aca="false">Algae_yield_cost_factor/AC105</f>
        <v>0.0461281169432794</v>
      </c>
    </row>
    <row r="106" customFormat="false" ht="15" hidden="false" customHeight="false" outlineLevel="0" collapsed="false">
      <c r="A106" s="18" t="s">
        <v>706</v>
      </c>
      <c r="B106" s="18" t="s">
        <v>22</v>
      </c>
      <c r="C106" s="18" t="s">
        <v>688</v>
      </c>
      <c r="D106" s="18" t="s">
        <v>688</v>
      </c>
      <c r="E106" s="185" t="n">
        <v>8.9265</v>
      </c>
      <c r="F106" s="18" t="n">
        <f aca="false">E106/$B$2*$F$3/1000</f>
        <v>0.021869925</v>
      </c>
      <c r="G106" s="18" t="n">
        <f aca="false">LOOKUP(RIGHT(D106,5),Ref!$C$4:$C$21,Ref!$E$4:$E$21)*$G$3</f>
        <v>4.5</v>
      </c>
      <c r="H106" s="222" t="n">
        <f aca="false">$E106</f>
        <v>8.9265</v>
      </c>
      <c r="I106" s="185" t="n">
        <f aca="false">$E106</f>
        <v>8.9265</v>
      </c>
      <c r="J106" s="185" t="n">
        <f aca="false">$E106</f>
        <v>8.9265</v>
      </c>
      <c r="K106" s="185" t="n">
        <f aca="false">$E106</f>
        <v>8.9265</v>
      </c>
      <c r="L106" s="185" t="n">
        <f aca="false">$E106</f>
        <v>8.9265</v>
      </c>
      <c r="M106" s="185" t="n">
        <f aca="false">M$3*$E106</f>
        <v>9.34984705691955</v>
      </c>
      <c r="N106" s="185" t="n">
        <f aca="false">N$3*$E106</f>
        <v>9.60364804395963</v>
      </c>
      <c r="O106" s="185" t="n">
        <f aca="false">O$3*$E106</f>
        <v>9.99056488343043</v>
      </c>
      <c r="P106" s="185" t="n">
        <f aca="false">P$3*$E106</f>
        <v>10.5549214382574</v>
      </c>
      <c r="Q106" s="185" t="n">
        <f aca="false">Q$3*$E106</f>
        <v>11.3272055978593</v>
      </c>
      <c r="R106" s="185" t="n">
        <f aca="false">R$3*$E106</f>
        <v>12.2966167800266</v>
      </c>
      <c r="S106" s="185" t="n">
        <f aca="false">S$3*$E106</f>
        <v>13.38975</v>
      </c>
      <c r="T106" s="185" t="n">
        <f aca="false">T$3*$E106</f>
        <v>14.4828832199734</v>
      </c>
      <c r="U106" s="185" t="n">
        <f aca="false">U$3*$E106</f>
        <v>15.4522944021407</v>
      </c>
      <c r="V106" s="185" t="n">
        <f aca="false">V$3*$E106</f>
        <v>16.2245785617426</v>
      </c>
      <c r="W106" s="185" t="n">
        <f aca="false">W$3*$E106</f>
        <v>16.7889351165696</v>
      </c>
      <c r="X106" s="185" t="n">
        <f aca="false">X$3*$E106</f>
        <v>17.1758519560404</v>
      </c>
      <c r="Y106" s="185" t="n">
        <f aca="false">Y$3*$E106</f>
        <v>17.4296529430805</v>
      </c>
      <c r="Z106" s="185" t="n">
        <f aca="false">Z$3*$E106</f>
        <v>17.591344372198</v>
      </c>
      <c r="AA106" s="185" t="n">
        <f aca="false">AA$3*$E106</f>
        <v>17.6924460967734</v>
      </c>
      <c r="AB106" s="185" t="n">
        <f aca="false">AB$3*$E106</f>
        <v>17.754925056608</v>
      </c>
      <c r="AC106" s="185" t="n">
        <f aca="false">AC$3*$E106</f>
        <v>17.7932562662244</v>
      </c>
      <c r="AD106" s="219" t="n">
        <f aca="false">Algae_electricity_factor/H106</f>
        <v>0.001539640072092</v>
      </c>
      <c r="AE106" s="220" t="n">
        <f aca="false">Algae_electricity_factor/I106</f>
        <v>0.001539640072092</v>
      </c>
      <c r="AF106" s="220" t="n">
        <f aca="false">Algae_electricity_factor/J106</f>
        <v>0.001539640072092</v>
      </c>
      <c r="AG106" s="220" t="n">
        <f aca="false">Algae_electricity_factor/K106</f>
        <v>0.001539640072092</v>
      </c>
      <c r="AH106" s="220" t="n">
        <f aca="false">Algae_electricity_factor/L106</f>
        <v>0.001539640072092</v>
      </c>
      <c r="AI106" s="220" t="n">
        <f aca="false">Algae_electricity_factor/M106</f>
        <v>0.00146992747794286</v>
      </c>
      <c r="AJ106" s="220" t="n">
        <f aca="false">Algae_electricity_factor/N106</f>
        <v>0.00143108088099642</v>
      </c>
      <c r="AK106" s="220" t="n">
        <f aca="false">Algae_electricity_factor/O106</f>
        <v>0.00137565765939054</v>
      </c>
      <c r="AL106" s="220" t="n">
        <f aca="false">Algae_electricity_factor/P106</f>
        <v>0.00130210321165576</v>
      </c>
      <c r="AM106" s="220" t="n">
        <f aca="false">Algae_electricity_factor/Q106</f>
        <v>0.00121332635704314</v>
      </c>
      <c r="AN106" s="220" t="n">
        <f aca="false">Algae_electricity_factor/R106</f>
        <v>0.00111767304368247</v>
      </c>
      <c r="AO106" s="220" t="n">
        <f aca="false">Algae_electricity_factor/S106</f>
        <v>0.001026426714728</v>
      </c>
      <c r="AP106" s="220" t="n">
        <f aca="false">Algae_electricity_factor/T106</f>
        <v>0.000948954493023561</v>
      </c>
      <c r="AQ106" s="220" t="n">
        <f aca="false">Algae_electricity_factor/U106</f>
        <v>0.000889421127106227</v>
      </c>
      <c r="AR106" s="220" t="n">
        <f aca="false">Algae_electricity_factor/V106</f>
        <v>0.000847084998308465</v>
      </c>
      <c r="AS106" s="220" t="n">
        <f aca="false">Algae_electricity_factor/W106</f>
        <v>0.000818610412638098</v>
      </c>
      <c r="AT106" s="220" t="n">
        <f aca="false">Algae_electricity_factor/X106</f>
        <v>0.000800169746380233</v>
      </c>
      <c r="AU106" s="220" t="n">
        <f aca="false">Algae_electricity_factor/Y106</f>
        <v>0.000788518116132969</v>
      </c>
      <c r="AV106" s="220" t="n">
        <f aca="false">Algae_electricity_factor/Z106</f>
        <v>0.000781270425542355</v>
      </c>
      <c r="AW106" s="220" t="n">
        <f aca="false">Algae_electricity_factor/AA106</f>
        <v>0.000776805933354558</v>
      </c>
      <c r="AX106" s="220" t="n">
        <f aca="false">Algae_electricity_factor/AB106</f>
        <v>0.000774072380464044</v>
      </c>
      <c r="AY106" s="220" t="n">
        <f aca="false">Algae_electricity_factor/AC106</f>
        <v>0.000772404831240346</v>
      </c>
      <c r="AZ106" s="211" t="n">
        <f aca="false">Algae_yield_cost_factor/H106</f>
        <v>0.0852341476823187</v>
      </c>
      <c r="BA106" s="18" t="n">
        <f aca="false">Algae_yield_cost_factor/I106</f>
        <v>0.0852341476823187</v>
      </c>
      <c r="BB106" s="18" t="n">
        <f aca="false">Algae_yield_cost_factor/J106</f>
        <v>0.0852341476823187</v>
      </c>
      <c r="BC106" s="18" t="n">
        <f aca="false">Algae_yield_cost_factor/K106</f>
        <v>0.0852341476823187</v>
      </c>
      <c r="BD106" s="18" t="n">
        <f aca="false">Algae_yield_cost_factor/L106</f>
        <v>0.0852341476823187</v>
      </c>
      <c r="BE106" s="18" t="n">
        <f aca="false">Algae_yield_cost_factor/M106</f>
        <v>0.0813748732631022</v>
      </c>
      <c r="BF106" s="18" t="n">
        <f aca="false">Algae_yield_cost_factor/N106</f>
        <v>0.0792243338993209</v>
      </c>
      <c r="BG106" s="18" t="n">
        <f aca="false">Algae_yield_cost_factor/O106</f>
        <v>0.0761561161119219</v>
      </c>
      <c r="BH106" s="18" t="n">
        <f aca="false">Algae_yield_cost_factor/P106</f>
        <v>0.0720841574934383</v>
      </c>
      <c r="BI106" s="18" t="n">
        <f aca="false">Algae_yield_cost_factor/Q106</f>
        <v>0.0671694896603634</v>
      </c>
      <c r="BJ106" s="18" t="n">
        <f aca="false">Algae_yield_cost_factor/R106</f>
        <v>0.0618741425301675</v>
      </c>
      <c r="BK106" s="18" t="n">
        <f aca="false">Algae_yield_cost_factor/S106</f>
        <v>0.0568227651215458</v>
      </c>
      <c r="BL106" s="18" t="n">
        <f aca="false">Algae_yield_cost_factor/T106</f>
        <v>0.0525339193674461</v>
      </c>
      <c r="BM106" s="18" t="n">
        <f aca="false">Algae_yield_cost_factor/U106</f>
        <v>0.0492381648631294</v>
      </c>
      <c r="BN106" s="18" t="n">
        <f aca="false">Algae_yield_cost_factor/V106</f>
        <v>0.0468944457565313</v>
      </c>
      <c r="BO106" s="18" t="n">
        <f aca="false">Algae_yield_cost_factor/W106</f>
        <v>0.0453180987360727</v>
      </c>
      <c r="BP106" s="18" t="n">
        <f aca="false">Algae_yield_cost_factor/X106</f>
        <v>0.0442972273651116</v>
      </c>
      <c r="BQ106" s="18" t="n">
        <f aca="false">Algae_yield_cost_factor/Y106</f>
        <v>0.0436521955870769</v>
      </c>
      <c r="BR106" s="18" t="n">
        <f aca="false">Algae_yield_cost_factor/Z106</f>
        <v>0.0432509649739266</v>
      </c>
      <c r="BS106" s="18" t="n">
        <f aca="false">Algae_yield_cost_factor/AA106</f>
        <v>0.0430038116337669</v>
      </c>
      <c r="BT106" s="18" t="n">
        <f aca="false">Algae_yield_cost_factor/AB106</f>
        <v>0.0428524827258028</v>
      </c>
      <c r="BU106" s="18" t="n">
        <f aca="false">Algae_yield_cost_factor/AC106</f>
        <v>0.0427601675546296</v>
      </c>
    </row>
    <row r="107" customFormat="false" ht="15" hidden="false" customHeight="false" outlineLevel="0" collapsed="false">
      <c r="A107" s="18" t="s">
        <v>744</v>
      </c>
      <c r="B107" s="18" t="s">
        <v>22</v>
      </c>
      <c r="C107" s="18" t="s">
        <v>684</v>
      </c>
      <c r="D107" s="18" t="s">
        <v>684</v>
      </c>
      <c r="E107" s="185" t="n">
        <v>9.05025</v>
      </c>
      <c r="F107" s="18" t="n">
        <f aca="false">E107/$B$2*$F$3/1000</f>
        <v>0.0221731125</v>
      </c>
      <c r="G107" s="18" t="n">
        <f aca="false">LOOKUP(RIGHT(D107,5),Ref!$C$4:$C$21,Ref!$E$4:$E$21)*$G$3</f>
        <v>3.5</v>
      </c>
      <c r="H107" s="222" t="n">
        <f aca="false">$E107</f>
        <v>9.05025</v>
      </c>
      <c r="I107" s="185" t="n">
        <f aca="false">$E107</f>
        <v>9.05025</v>
      </c>
      <c r="J107" s="185" t="n">
        <f aca="false">$E107</f>
        <v>9.05025</v>
      </c>
      <c r="K107" s="185" t="n">
        <f aca="false">$E107</f>
        <v>9.05025</v>
      </c>
      <c r="L107" s="185" t="n">
        <f aca="false">$E107</f>
        <v>9.05025</v>
      </c>
      <c r="M107" s="185" t="n">
        <f aca="false">M$3*$E107</f>
        <v>9.47946600872527</v>
      </c>
      <c r="N107" s="185" t="n">
        <f aca="false">N$3*$E107</f>
        <v>9.73678549373726</v>
      </c>
      <c r="O107" s="185" t="n">
        <f aca="false">O$3*$E107</f>
        <v>10.1290662450307</v>
      </c>
      <c r="P107" s="185" t="n">
        <f aca="false">P$3*$E107</f>
        <v>10.7012465968285</v>
      </c>
      <c r="Q107" s="185" t="n">
        <f aca="false">Q$3*$E107</f>
        <v>11.4842370987538</v>
      </c>
      <c r="R107" s="185" t="n">
        <f aca="false">R$3*$E107</f>
        <v>12.4670874377904</v>
      </c>
      <c r="S107" s="185" t="n">
        <f aca="false">S$3*$E107</f>
        <v>13.575375</v>
      </c>
      <c r="T107" s="185" t="n">
        <f aca="false">T$3*$E107</f>
        <v>14.6836625622096</v>
      </c>
      <c r="U107" s="185" t="n">
        <f aca="false">U$3*$E107</f>
        <v>15.6665129012462</v>
      </c>
      <c r="V107" s="185" t="n">
        <f aca="false">V$3*$E107</f>
        <v>16.4495034031715</v>
      </c>
      <c r="W107" s="185" t="n">
        <f aca="false">W$3*$E107</f>
        <v>17.0216837549693</v>
      </c>
      <c r="X107" s="185" t="n">
        <f aca="false">X$3*$E107</f>
        <v>17.4139645062627</v>
      </c>
      <c r="Y107" s="185" t="n">
        <f aca="false">Y$3*$E107</f>
        <v>17.6712839912747</v>
      </c>
      <c r="Z107" s="185" t="n">
        <f aca="false">Z$3*$E107</f>
        <v>17.8352169836425</v>
      </c>
      <c r="AA107" s="185" t="n">
        <f aca="false">AA$3*$E107</f>
        <v>17.9377203032906</v>
      </c>
      <c r="AB107" s="185" t="n">
        <f aca="false">AB$3*$E107</f>
        <v>18.0010654224575</v>
      </c>
      <c r="AC107" s="185" t="n">
        <f aca="false">AC$3*$E107</f>
        <v>18.0399280259225</v>
      </c>
      <c r="AD107" s="219" t="n">
        <f aca="false">Algae_electricity_factor/H107</f>
        <v>0.00151858756426941</v>
      </c>
      <c r="AE107" s="220" t="n">
        <f aca="false">Algae_electricity_factor/I107</f>
        <v>0.00151858756426941</v>
      </c>
      <c r="AF107" s="220" t="n">
        <f aca="false">Algae_electricity_factor/J107</f>
        <v>0.00151858756426941</v>
      </c>
      <c r="AG107" s="220" t="n">
        <f aca="false">Algae_electricity_factor/K107</f>
        <v>0.00151858756426941</v>
      </c>
      <c r="AH107" s="220" t="n">
        <f aca="false">Algae_electricity_factor/L107</f>
        <v>0.00151858756426941</v>
      </c>
      <c r="AI107" s="220" t="n">
        <f aca="false">Algae_electricity_factor/M107</f>
        <v>0.00144982819611138</v>
      </c>
      <c r="AJ107" s="220" t="n">
        <f aca="false">Algae_electricity_factor/N107</f>
        <v>0.00141151277414596</v>
      </c>
      <c r="AK107" s="220" t="n">
        <f aca="false">Algae_electricity_factor/O107</f>
        <v>0.00135684739057481</v>
      </c>
      <c r="AL107" s="220" t="n">
        <f aca="false">Algae_electricity_factor/P107</f>
        <v>0.00128429870101325</v>
      </c>
      <c r="AM107" s="220" t="n">
        <f aca="false">Algae_electricity_factor/Q107</f>
        <v>0.00119673575052022</v>
      </c>
      <c r="AN107" s="220" t="n">
        <f aca="false">Algae_electricity_factor/R107</f>
        <v>0.00110239036760659</v>
      </c>
      <c r="AO107" s="220" t="n">
        <f aca="false">Algae_electricity_factor/S107</f>
        <v>0.00101239170951294</v>
      </c>
      <c r="AP107" s="220" t="n">
        <f aca="false">Algae_electricity_factor/T107</f>
        <v>0.000935978816273011</v>
      </c>
      <c r="AQ107" s="220" t="n">
        <f aca="false">Algae_electricity_factor/U107</f>
        <v>0.000877259489087455</v>
      </c>
      <c r="AR107" s="220" t="n">
        <f aca="false">Algae_electricity_factor/V107</f>
        <v>0.000835502249926855</v>
      </c>
      <c r="AS107" s="220" t="n">
        <f aca="false">Algae_electricity_factor/W107</f>
        <v>0.000807417015929281</v>
      </c>
      <c r="AT107" s="220" t="n">
        <f aca="false">Algae_electricity_factor/X107</f>
        <v>0.000789228500987614</v>
      </c>
      <c r="AU107" s="220" t="n">
        <f aca="false">Algae_electricity_factor/Y107</f>
        <v>0.000777736191117477</v>
      </c>
      <c r="AV107" s="220" t="n">
        <f aca="false">Algae_electricity_factor/Z107</f>
        <v>0.000770587602950618</v>
      </c>
      <c r="AW107" s="220" t="n">
        <f aca="false">Algae_electricity_factor/AA107</f>
        <v>0.00076618415669064</v>
      </c>
      <c r="AX107" s="220" t="n">
        <f aca="false">Algae_electricity_factor/AB107</f>
        <v>0.000763487981460433</v>
      </c>
      <c r="AY107" s="220" t="n">
        <f aca="false">Algae_electricity_factor/AC107</f>
        <v>0.000761843233730223</v>
      </c>
      <c r="AZ107" s="211" t="n">
        <f aca="false">Algae_yield_cost_factor/H107</f>
        <v>0.0840686853165623</v>
      </c>
      <c r="BA107" s="18" t="n">
        <f aca="false">Algae_yield_cost_factor/I107</f>
        <v>0.0840686853165623</v>
      </c>
      <c r="BB107" s="18" t="n">
        <f aca="false">Algae_yield_cost_factor/J107</f>
        <v>0.0840686853165623</v>
      </c>
      <c r="BC107" s="18" t="n">
        <f aca="false">Algae_yield_cost_factor/K107</f>
        <v>0.0840686853165623</v>
      </c>
      <c r="BD107" s="18" t="n">
        <f aca="false">Algae_yield_cost_factor/L107</f>
        <v>0.0840686853165623</v>
      </c>
      <c r="BE107" s="18" t="n">
        <f aca="false">Algae_yield_cost_factor/M107</f>
        <v>0.0802621812859404</v>
      </c>
      <c r="BF107" s="18" t="n">
        <f aca="false">Algae_yield_cost_factor/N107</f>
        <v>0.0781410476563949</v>
      </c>
      <c r="BG107" s="18" t="n">
        <f aca="false">Algae_yield_cost_factor/O107</f>
        <v>0.0751147836217863</v>
      </c>
      <c r="BH107" s="18" t="n">
        <f aca="false">Algae_yield_cost_factor/P107</f>
        <v>0.0710985035623521</v>
      </c>
      <c r="BI107" s="18" t="n">
        <f aca="false">Algae_yield_cost_factor/Q107</f>
        <v>0.0662510372037495</v>
      </c>
      <c r="BJ107" s="18" t="n">
        <f aca="false">Algae_yield_cost_factor/R107</f>
        <v>0.0610280968255617</v>
      </c>
      <c r="BK107" s="18" t="n">
        <f aca="false">Algae_yield_cost_factor/S107</f>
        <v>0.0560457902110415</v>
      </c>
      <c r="BL107" s="18" t="n">
        <f aca="false">Algae_yield_cost_factor/T107</f>
        <v>0.0518155886559495</v>
      </c>
      <c r="BM107" s="18" t="n">
        <f aca="false">Algae_yield_cost_factor/U107</f>
        <v>0.0485648991630867</v>
      </c>
      <c r="BN107" s="18" t="n">
        <f aca="false">Algae_yield_cost_factor/V107</f>
        <v>0.0462532272639626</v>
      </c>
      <c r="BO107" s="18" t="n">
        <f aca="false">Algae_yield_cost_factor/W107</f>
        <v>0.0446984346694901</v>
      </c>
      <c r="BP107" s="18" t="n">
        <f aca="false">Algae_yield_cost_factor/X107</f>
        <v>0.0436915223418877</v>
      </c>
      <c r="BQ107" s="18" t="n">
        <f aca="false">Algae_yield_cost_factor/Y107</f>
        <v>0.0430553105061232</v>
      </c>
      <c r="BR107" s="18" t="n">
        <f aca="false">Algae_yield_cost_factor/Z107</f>
        <v>0.0426595661821227</v>
      </c>
      <c r="BS107" s="18" t="n">
        <f aca="false">Algae_yield_cost_factor/AA107</f>
        <v>0.0424157923315732</v>
      </c>
      <c r="BT107" s="18" t="n">
        <f aca="false">Algae_yield_cost_factor/AB107</f>
        <v>0.0422665326429522</v>
      </c>
      <c r="BU107" s="18" t="n">
        <f aca="false">Algae_yield_cost_factor/AC107</f>
        <v>0.0421754797576201</v>
      </c>
    </row>
    <row r="108" customFormat="false" ht="15" hidden="false" customHeight="false" outlineLevel="0" collapsed="false">
      <c r="A108" s="18" t="s">
        <v>744</v>
      </c>
      <c r="B108" s="18" t="s">
        <v>22</v>
      </c>
      <c r="C108" s="18" t="s">
        <v>685</v>
      </c>
      <c r="D108" s="18" t="s">
        <v>685</v>
      </c>
      <c r="E108" s="185" t="n">
        <v>8.2005</v>
      </c>
      <c r="F108" s="18" t="n">
        <f aca="false">E108/$B$2*$F$3/1000</f>
        <v>0.020091225</v>
      </c>
      <c r="G108" s="18" t="n">
        <f aca="false">LOOKUP(RIGHT(D108,5),Ref!$C$4:$C$21,Ref!$E$4:$E$21)*$G$3</f>
        <v>4</v>
      </c>
      <c r="H108" s="222" t="n">
        <f aca="false">$E108</f>
        <v>8.2005</v>
      </c>
      <c r="I108" s="185" t="n">
        <f aca="false">$E108</f>
        <v>8.2005</v>
      </c>
      <c r="J108" s="185" t="n">
        <f aca="false">$E108</f>
        <v>8.2005</v>
      </c>
      <c r="K108" s="185" t="n">
        <f aca="false">$E108</f>
        <v>8.2005</v>
      </c>
      <c r="L108" s="185" t="n">
        <f aca="false">$E108</f>
        <v>8.2005</v>
      </c>
      <c r="M108" s="185" t="n">
        <f aca="false">M$3*$E108</f>
        <v>8.58941587299264</v>
      </c>
      <c r="N108" s="185" t="n">
        <f aca="false">N$3*$E108</f>
        <v>8.82257500526421</v>
      </c>
      <c r="O108" s="185" t="n">
        <f aca="false">O$3*$E108</f>
        <v>9.17802356204238</v>
      </c>
      <c r="P108" s="185" t="n">
        <f aca="false">P$3*$E108</f>
        <v>9.69648050797403</v>
      </c>
      <c r="Q108" s="185" t="n">
        <f aca="false">Q$3*$E108</f>
        <v>10.4059541259446</v>
      </c>
      <c r="R108" s="185" t="n">
        <f aca="false">R$3*$E108</f>
        <v>11.2965222544792</v>
      </c>
      <c r="S108" s="185" t="n">
        <f aca="false">S$3*$E108</f>
        <v>12.30075</v>
      </c>
      <c r="T108" s="185" t="n">
        <f aca="false">T$3*$E108</f>
        <v>13.3049777455208</v>
      </c>
      <c r="U108" s="185" t="n">
        <f aca="false">U$3*$E108</f>
        <v>14.1955458740554</v>
      </c>
      <c r="V108" s="185" t="n">
        <f aca="false">V$3*$E108</f>
        <v>14.905019492026</v>
      </c>
      <c r="W108" s="185" t="n">
        <f aca="false">W$3*$E108</f>
        <v>15.4234764379576</v>
      </c>
      <c r="X108" s="185" t="n">
        <f aca="false">X$3*$E108</f>
        <v>15.7789249947358</v>
      </c>
      <c r="Y108" s="185" t="n">
        <f aca="false">Y$3*$E108</f>
        <v>16.0120841270074</v>
      </c>
      <c r="Z108" s="185" t="n">
        <f aca="false">Z$3*$E108</f>
        <v>16.1606250517235</v>
      </c>
      <c r="AA108" s="185" t="n">
        <f aca="false">AA$3*$E108</f>
        <v>16.2535040852059</v>
      </c>
      <c r="AB108" s="185" t="n">
        <f aca="false">AB$3*$E108</f>
        <v>16.3109015769578</v>
      </c>
      <c r="AC108" s="185" t="n">
        <f aca="false">AC$3*$E108</f>
        <v>16.3461152759954</v>
      </c>
      <c r="AD108" s="219" t="n">
        <f aca="false">Algae_electricity_factor/H108</f>
        <v>0.00167594623541604</v>
      </c>
      <c r="AE108" s="220" t="n">
        <f aca="false">Algae_electricity_factor/I108</f>
        <v>0.00167594623541604</v>
      </c>
      <c r="AF108" s="220" t="n">
        <f aca="false">Algae_electricity_factor/J108</f>
        <v>0.00167594623541604</v>
      </c>
      <c r="AG108" s="220" t="n">
        <f aca="false">Algae_electricity_factor/K108</f>
        <v>0.00167594623541604</v>
      </c>
      <c r="AH108" s="220" t="n">
        <f aca="false">Algae_electricity_factor/L108</f>
        <v>0.00167594623541604</v>
      </c>
      <c r="AI108" s="220" t="n">
        <f aca="false">Algae_electricity_factor/M108</f>
        <v>0.00160006190254948</v>
      </c>
      <c r="AJ108" s="220" t="n">
        <f aca="false">Algae_electricity_factor/N108</f>
        <v>0.00155777617025968</v>
      </c>
      <c r="AK108" s="220" t="n">
        <f aca="false">Algae_electricity_factor/O108</f>
        <v>0.00149744626505087</v>
      </c>
      <c r="AL108" s="220" t="n">
        <f aca="false">Algae_electricity_factor/P108</f>
        <v>0.00141737995473997</v>
      </c>
      <c r="AM108" s="220" t="n">
        <f aca="false">Algae_electricity_factor/Q108</f>
        <v>0.00132074357979948</v>
      </c>
      <c r="AN108" s="220" t="n">
        <f aca="false">Algae_electricity_factor/R108</f>
        <v>0.00121662196505476</v>
      </c>
      <c r="AO108" s="220" t="n">
        <f aca="false">Algae_electricity_factor/S108</f>
        <v>0.00111729749027736</v>
      </c>
      <c r="AP108" s="220" t="n">
        <f aca="false">Algae_electricity_factor/T108</f>
        <v>0.00103296656081639</v>
      </c>
      <c r="AQ108" s="220" t="n">
        <f aca="false">Algae_electricity_factor/U108</f>
        <v>0.000968162635340984</v>
      </c>
      <c r="AR108" s="220" t="n">
        <f aca="false">Algae_electricity_factor/V108</f>
        <v>0.000922078438802575</v>
      </c>
      <c r="AS108" s="220" t="n">
        <f aca="false">Algae_electricity_factor/W108</f>
        <v>0.000891082964259982</v>
      </c>
      <c r="AT108" s="220" t="n">
        <f aca="false">Algae_electricity_factor/X108</f>
        <v>0.000871009723926974</v>
      </c>
      <c r="AU108" s="220" t="n">
        <f aca="false">Algae_electricity_factor/Y108</f>
        <v>0.000858326561022005</v>
      </c>
      <c r="AV108" s="220" t="n">
        <f aca="false">Algae_electricity_factor/Z108</f>
        <v>0.000850437223779505</v>
      </c>
      <c r="AW108" s="220" t="n">
        <f aca="false">Algae_electricity_factor/AA108</f>
        <v>0.000845577484798422</v>
      </c>
      <c r="AX108" s="220" t="n">
        <f aca="false">Algae_electricity_factor/AB108</f>
        <v>0.000842601927225448</v>
      </c>
      <c r="AY108" s="220" t="n">
        <f aca="false">Algae_electricity_factor/AC108</f>
        <v>0.00084078674788939</v>
      </c>
      <c r="AZ108" s="211" t="n">
        <f aca="false">Algae_yield_cost_factor/H108</f>
        <v>0.092780027960029</v>
      </c>
      <c r="BA108" s="18" t="n">
        <f aca="false">Algae_yield_cost_factor/I108</f>
        <v>0.092780027960029</v>
      </c>
      <c r="BB108" s="18" t="n">
        <f aca="false">Algae_yield_cost_factor/J108</f>
        <v>0.092780027960029</v>
      </c>
      <c r="BC108" s="18" t="n">
        <f aca="false">Algae_yield_cost_factor/K108</f>
        <v>0.092780027960029</v>
      </c>
      <c r="BD108" s="18" t="n">
        <f aca="false">Algae_yield_cost_factor/L108</f>
        <v>0.092780027960029</v>
      </c>
      <c r="BE108" s="18" t="n">
        <f aca="false">Algae_yield_cost_factor/M108</f>
        <v>0.0885790873950469</v>
      </c>
      <c r="BF108" s="18" t="n">
        <f aca="false">Algae_yield_cost_factor/N108</f>
        <v>0.0862381582284358</v>
      </c>
      <c r="BG108" s="18" t="n">
        <f aca="false">Algae_yield_cost_factor/O108</f>
        <v>0.0828983074779673</v>
      </c>
      <c r="BH108" s="18" t="n">
        <f aca="false">Algae_yield_cost_factor/P108</f>
        <v>0.0784658535290747</v>
      </c>
      <c r="BI108" s="18" t="n">
        <f aca="false">Algae_yield_cost_factor/Q108</f>
        <v>0.0731160843184237</v>
      </c>
      <c r="BJ108" s="18" t="n">
        <f aca="false">Algae_yield_cost_factor/R108</f>
        <v>0.0673519338205646</v>
      </c>
      <c r="BK108" s="18" t="n">
        <f aca="false">Algae_yield_cost_factor/S108</f>
        <v>0.0618533519733527</v>
      </c>
      <c r="BL108" s="18" t="n">
        <f aca="false">Algae_yield_cost_factor/T108</f>
        <v>0.0571848096132562</v>
      </c>
      <c r="BM108" s="18" t="n">
        <f aca="false">Algae_yield_cost_factor/U108</f>
        <v>0.0535972780502073</v>
      </c>
      <c r="BN108" s="18" t="n">
        <f aca="false">Algae_yield_cost_factor/V108</f>
        <v>0.0510460667088198</v>
      </c>
      <c r="BO108" s="18" t="n">
        <f aca="false">Algae_yield_cost_factor/W108</f>
        <v>0.0493301638153226</v>
      </c>
      <c r="BP108" s="18" t="n">
        <f aca="false">Algae_yield_cost_factor/X108</f>
        <v>0.0482189134899907</v>
      </c>
      <c r="BQ108" s="18" t="n">
        <f aca="false">Algae_yield_cost_factor/Y108</f>
        <v>0.0475167762829147</v>
      </c>
      <c r="BR108" s="18" t="n">
        <f aca="false">Algae_yield_cost_factor/Z108</f>
        <v>0.0470800242472722</v>
      </c>
      <c r="BS108" s="18" t="n">
        <f aca="false">Algae_yield_cost_factor/AA108</f>
        <v>0.0468109901285069</v>
      </c>
      <c r="BT108" s="18" t="n">
        <f aca="false">Algae_yield_cost_factor/AB108</f>
        <v>0.0466462638926747</v>
      </c>
      <c r="BU108" s="18" t="n">
        <f aca="false">Algae_yield_cost_factor/AC108</f>
        <v>0.0465457759498081</v>
      </c>
    </row>
    <row r="109" customFormat="false" ht="15" hidden="false" customHeight="false" outlineLevel="0" collapsed="false">
      <c r="A109" s="18" t="s">
        <v>744</v>
      </c>
      <c r="B109" s="18" t="s">
        <v>22</v>
      </c>
      <c r="C109" s="18" t="s">
        <v>686</v>
      </c>
      <c r="D109" s="18" t="s">
        <v>686</v>
      </c>
      <c r="E109" s="185" t="n">
        <v>7.92</v>
      </c>
      <c r="F109" s="18" t="n">
        <f aca="false">E109/$B$2*$F$3/1000</f>
        <v>0.019404</v>
      </c>
      <c r="G109" s="18" t="n">
        <f aca="false">LOOKUP(RIGHT(D109,5),Ref!$C$4:$C$21,Ref!$E$4:$E$21)*$G$3</f>
        <v>4.5</v>
      </c>
      <c r="H109" s="222" t="n">
        <f aca="false">$E109</f>
        <v>7.92</v>
      </c>
      <c r="I109" s="185" t="n">
        <f aca="false">$E109</f>
        <v>7.92</v>
      </c>
      <c r="J109" s="185" t="n">
        <f aca="false">$E109</f>
        <v>7.92</v>
      </c>
      <c r="K109" s="185" t="n">
        <f aca="false">$E109</f>
        <v>7.92</v>
      </c>
      <c r="L109" s="185" t="n">
        <f aca="false">$E109</f>
        <v>7.92</v>
      </c>
      <c r="M109" s="185" t="n">
        <f aca="false">M$3*$E109</f>
        <v>8.29561291556633</v>
      </c>
      <c r="N109" s="185" t="n">
        <f aca="false">N$3*$E109</f>
        <v>8.52079678576825</v>
      </c>
      <c r="O109" s="185" t="n">
        <f aca="false">O$3*$E109</f>
        <v>8.86408714241517</v>
      </c>
      <c r="P109" s="185" t="n">
        <f aca="false">P$3*$E109</f>
        <v>9.36481014854634</v>
      </c>
      <c r="Q109" s="185" t="n">
        <f aca="false">Q$3*$E109</f>
        <v>10.0500160572504</v>
      </c>
      <c r="R109" s="185" t="n">
        <f aca="false">R$3*$E109</f>
        <v>10.9101220968813</v>
      </c>
      <c r="S109" s="185" t="n">
        <f aca="false">S$3*$E109</f>
        <v>11.88</v>
      </c>
      <c r="T109" s="185" t="n">
        <f aca="false">T$3*$E109</f>
        <v>12.8498779031187</v>
      </c>
      <c r="U109" s="185" t="n">
        <f aca="false">U$3*$E109</f>
        <v>13.7099839427496</v>
      </c>
      <c r="V109" s="185" t="n">
        <f aca="false">V$3*$E109</f>
        <v>14.3951898514537</v>
      </c>
      <c r="W109" s="185" t="n">
        <f aca="false">W$3*$E109</f>
        <v>14.8959128575848</v>
      </c>
      <c r="X109" s="185" t="n">
        <f aca="false">X$3*$E109</f>
        <v>15.2392032142318</v>
      </c>
      <c r="Y109" s="185" t="n">
        <f aca="false">Y$3*$E109</f>
        <v>15.4643870844337</v>
      </c>
      <c r="Z109" s="185" t="n">
        <f aca="false">Z$3*$E109</f>
        <v>15.6078471324493</v>
      </c>
      <c r="AA109" s="185" t="n">
        <f aca="false">AA$3*$E109</f>
        <v>15.6975492171002</v>
      </c>
      <c r="AB109" s="185" t="n">
        <f aca="false">AB$3*$E109</f>
        <v>15.7529834143657</v>
      </c>
      <c r="AC109" s="185" t="n">
        <f aca="false">AC$3*$E109</f>
        <v>15.7869926206797</v>
      </c>
      <c r="AD109" s="219" t="n">
        <f aca="false">Algae_electricity_factor/H109</f>
        <v>0.00173530266458703</v>
      </c>
      <c r="AE109" s="220" t="n">
        <f aca="false">Algae_electricity_factor/I109</f>
        <v>0.00173530266458703</v>
      </c>
      <c r="AF109" s="220" t="n">
        <f aca="false">Algae_electricity_factor/J109</f>
        <v>0.00173530266458703</v>
      </c>
      <c r="AG109" s="220" t="n">
        <f aca="false">Algae_electricity_factor/K109</f>
        <v>0.00173530266458703</v>
      </c>
      <c r="AH109" s="220" t="n">
        <f aca="false">Algae_electricity_factor/L109</f>
        <v>0.00173530266458703</v>
      </c>
      <c r="AI109" s="220" t="n">
        <f aca="false">Algae_electricity_factor/M109</f>
        <v>0.0016567307615981</v>
      </c>
      <c r="AJ109" s="220" t="n">
        <f aca="false">Algae_electricity_factor/N109</f>
        <v>0.00161294740962304</v>
      </c>
      <c r="AK109" s="220" t="n">
        <f aca="false">Algae_electricity_factor/O109</f>
        <v>0.00155048082027142</v>
      </c>
      <c r="AL109" s="220" t="n">
        <f aca="false">Algae_electricity_factor/P109</f>
        <v>0.00146757882813701</v>
      </c>
      <c r="AM109" s="220" t="n">
        <f aca="false">Algae_electricity_factor/Q109</f>
        <v>0.00136751991491737</v>
      </c>
      <c r="AN109" s="220" t="n">
        <f aca="false">Algae_electricity_factor/R109</f>
        <v>0.00125971065965045</v>
      </c>
      <c r="AO109" s="220" t="n">
        <f aca="false">Algae_electricity_factor/S109</f>
        <v>0.00115686844305802</v>
      </c>
      <c r="AP109" s="220" t="n">
        <f aca="false">Algae_electricity_factor/T109</f>
        <v>0.00106955079317864</v>
      </c>
      <c r="AQ109" s="220" t="n">
        <f aca="false">Algae_electricity_factor/U109</f>
        <v>0.00100245172867598</v>
      </c>
      <c r="AR109" s="220" t="n">
        <f aca="false">Algae_electricity_factor/V109</f>
        <v>0.000954735383510166</v>
      </c>
      <c r="AS109" s="220" t="n">
        <f aca="false">Algae_electricity_factor/W109</f>
        <v>0.000922642152577522</v>
      </c>
      <c r="AT109" s="220" t="n">
        <f aca="false">Algae_electricity_factor/X109</f>
        <v>0.000901857984982721</v>
      </c>
      <c r="AU109" s="220" t="n">
        <f aca="false">Algae_electricity_factor/Y109</f>
        <v>0.000888725626724867</v>
      </c>
      <c r="AV109" s="220" t="n">
        <f aca="false">Algae_electricity_factor/Z109</f>
        <v>0.000880556875455029</v>
      </c>
      <c r="AW109" s="220" t="n">
        <f aca="false">Algae_electricity_factor/AA109</f>
        <v>0.000875525020718366</v>
      </c>
      <c r="AX109" s="220" t="n">
        <f aca="false">Algae_electricity_factor/AB109</f>
        <v>0.000872444078814683</v>
      </c>
      <c r="AY109" s="220" t="n">
        <f aca="false">Algae_electricity_factor/AC109</f>
        <v>0.000870564611877139</v>
      </c>
      <c r="AZ109" s="211" t="n">
        <f aca="false">Algae_yield_cost_factor/H109</f>
        <v>0.0960659872836134</v>
      </c>
      <c r="BA109" s="18" t="n">
        <f aca="false">Algae_yield_cost_factor/I109</f>
        <v>0.0960659872836134</v>
      </c>
      <c r="BB109" s="18" t="n">
        <f aca="false">Algae_yield_cost_factor/J109</f>
        <v>0.0960659872836134</v>
      </c>
      <c r="BC109" s="18" t="n">
        <f aca="false">Algae_yield_cost_factor/K109</f>
        <v>0.0960659872836134</v>
      </c>
      <c r="BD109" s="18" t="n">
        <f aca="false">Algae_yield_cost_factor/L109</f>
        <v>0.0960659872836134</v>
      </c>
      <c r="BE109" s="18" t="n">
        <f aca="false">Algae_yield_cost_factor/M109</f>
        <v>0.0917162634069548</v>
      </c>
      <c r="BF109" s="18" t="n">
        <f aca="false">Algae_yield_cost_factor/N109</f>
        <v>0.0892924263323596</v>
      </c>
      <c r="BG109" s="18" t="n">
        <f aca="false">Algae_yield_cost_factor/O109</f>
        <v>0.0858342892011453</v>
      </c>
      <c r="BH109" s="18" t="n">
        <f aca="false">Algae_yield_cost_factor/P109</f>
        <v>0.0812448525082294</v>
      </c>
      <c r="BI109" s="18" t="n">
        <f aca="false">Algae_yield_cost_factor/Q109</f>
        <v>0.0757056123047012</v>
      </c>
      <c r="BJ109" s="18" t="n">
        <f aca="false">Algae_yield_cost_factor/R109</f>
        <v>0.0697373148100429</v>
      </c>
      <c r="BK109" s="18" t="n">
        <f aca="false">Algae_yield_cost_factor/S109</f>
        <v>0.0640439915224089</v>
      </c>
      <c r="BL109" s="18" t="n">
        <f aca="false">Algae_yield_cost_factor/T109</f>
        <v>0.0592101049537257</v>
      </c>
      <c r="BM109" s="18" t="n">
        <f aca="false">Algae_yield_cost_factor/U109</f>
        <v>0.0554955149811521</v>
      </c>
      <c r="BN109" s="18" t="n">
        <f aca="false">Algae_yield_cost_factor/V109</f>
        <v>0.0528539482380905</v>
      </c>
      <c r="BO109" s="18" t="n">
        <f aca="false">Algae_yield_cost_factor/W109</f>
        <v>0.0510772737837819</v>
      </c>
      <c r="BP109" s="18" t="n">
        <f aca="false">Algae_yield_cost_factor/X109</f>
        <v>0.0499266666760946</v>
      </c>
      <c r="BQ109" s="18" t="n">
        <f aca="false">Algae_yield_cost_factor/Y109</f>
        <v>0.0491996621096012</v>
      </c>
      <c r="BR109" s="18" t="n">
        <f aca="false">Algae_yield_cost_factor/Z109</f>
        <v>0.0487474417726965</v>
      </c>
      <c r="BS109" s="18" t="n">
        <f aca="false">Algae_yield_cost_factor/AA109</f>
        <v>0.0484688793622248</v>
      </c>
      <c r="BT109" s="18" t="n">
        <f aca="false">Algae_yield_cost_factor/AB109</f>
        <v>0.0482983190722069</v>
      </c>
      <c r="BU109" s="18" t="n">
        <f aca="false">Algae_yield_cost_factor/AC109</f>
        <v>0.0481942721813638</v>
      </c>
    </row>
    <row r="110" customFormat="false" ht="15" hidden="false" customHeight="false" outlineLevel="0" collapsed="false">
      <c r="A110" s="18" t="s">
        <v>707</v>
      </c>
      <c r="B110" s="18" t="s">
        <v>22</v>
      </c>
      <c r="C110" s="18" t="s">
        <v>683</v>
      </c>
      <c r="D110" s="18" t="s">
        <v>683</v>
      </c>
      <c r="E110" s="185" t="n">
        <v>7.755</v>
      </c>
      <c r="F110" s="18" t="n">
        <f aca="false">E110/$B$2*$F$3/1000</f>
        <v>0.01899975</v>
      </c>
      <c r="G110" s="18" t="n">
        <f aca="false">LOOKUP(RIGHT(D110,5),Ref!$C$4:$C$21,Ref!$E$4:$E$21)*$G$3</f>
        <v>3</v>
      </c>
      <c r="H110" s="222" t="n">
        <f aca="false">$E110</f>
        <v>7.755</v>
      </c>
      <c r="I110" s="185" t="n">
        <f aca="false">$E110</f>
        <v>7.755</v>
      </c>
      <c r="J110" s="185" t="n">
        <f aca="false">$E110</f>
        <v>7.755</v>
      </c>
      <c r="K110" s="185" t="n">
        <f aca="false">$E110</f>
        <v>7.755</v>
      </c>
      <c r="L110" s="185" t="n">
        <f aca="false">$E110</f>
        <v>7.755</v>
      </c>
      <c r="M110" s="185" t="n">
        <f aca="false">M$3*$E110</f>
        <v>8.12278764649203</v>
      </c>
      <c r="N110" s="185" t="n">
        <f aca="false">N$3*$E110</f>
        <v>8.34328018606474</v>
      </c>
      <c r="O110" s="185" t="n">
        <f aca="false">O$3*$E110</f>
        <v>8.67941866028152</v>
      </c>
      <c r="P110" s="185" t="n">
        <f aca="false">P$3*$E110</f>
        <v>9.16970993711829</v>
      </c>
      <c r="Q110" s="185" t="n">
        <f aca="false">Q$3*$E110</f>
        <v>9.84064072272431</v>
      </c>
      <c r="R110" s="185" t="n">
        <f aca="false">R$3*$E110</f>
        <v>10.6828278865296</v>
      </c>
      <c r="S110" s="185" t="n">
        <f aca="false">S$3*$E110</f>
        <v>11.6325</v>
      </c>
      <c r="T110" s="185" t="n">
        <f aca="false">T$3*$E110</f>
        <v>12.5821721134704</v>
      </c>
      <c r="U110" s="185" t="n">
        <f aca="false">U$3*$E110</f>
        <v>13.4243592772757</v>
      </c>
      <c r="V110" s="185" t="n">
        <f aca="false">V$3*$E110</f>
        <v>14.0952900628817</v>
      </c>
      <c r="W110" s="185" t="n">
        <f aca="false">W$3*$E110</f>
        <v>14.5855813397185</v>
      </c>
      <c r="X110" s="185" t="n">
        <f aca="false">X$3*$E110</f>
        <v>14.9217198139353</v>
      </c>
      <c r="Y110" s="185" t="n">
        <f aca="false">Y$3*$E110</f>
        <v>15.142212353508</v>
      </c>
      <c r="Z110" s="185" t="n">
        <f aca="false">Z$3*$E110</f>
        <v>15.2826836505232</v>
      </c>
      <c r="AA110" s="185" t="n">
        <f aca="false">AA$3*$E110</f>
        <v>15.370516941744</v>
      </c>
      <c r="AB110" s="185" t="n">
        <f aca="false">AB$3*$E110</f>
        <v>15.4247962598998</v>
      </c>
      <c r="AC110" s="185" t="n">
        <f aca="false">AC$3*$E110</f>
        <v>15.4580969410822</v>
      </c>
      <c r="AD110" s="219" t="n">
        <f aca="false">Algae_electricity_factor/H110</f>
        <v>0.00177222399787611</v>
      </c>
      <c r="AE110" s="220" t="n">
        <f aca="false">Algae_electricity_factor/I110</f>
        <v>0.00177222399787611</v>
      </c>
      <c r="AF110" s="220" t="n">
        <f aca="false">Algae_electricity_factor/J110</f>
        <v>0.00177222399787611</v>
      </c>
      <c r="AG110" s="220" t="n">
        <f aca="false">Algae_electricity_factor/K110</f>
        <v>0.00177222399787611</v>
      </c>
      <c r="AH110" s="220" t="n">
        <f aca="false">Algae_electricity_factor/L110</f>
        <v>0.00177222399787611</v>
      </c>
      <c r="AI110" s="220" t="n">
        <f aca="false">Algae_electricity_factor/M110</f>
        <v>0.0016919803522704</v>
      </c>
      <c r="AJ110" s="220" t="n">
        <f aca="false">Algae_electricity_factor/N110</f>
        <v>0.00164726543961502</v>
      </c>
      <c r="AK110" s="220" t="n">
        <f aca="false">Algae_electricity_factor/O110</f>
        <v>0.00158346977389422</v>
      </c>
      <c r="AL110" s="220" t="n">
        <f aca="false">Algae_electricity_factor/P110</f>
        <v>0.00149880390958674</v>
      </c>
      <c r="AM110" s="220" t="n">
        <f aca="false">Algae_electricity_factor/Q110</f>
        <v>0.00139661608331987</v>
      </c>
      <c r="AN110" s="220" t="n">
        <f aca="false">Algae_electricity_factor/R110</f>
        <v>0.00128651301411109</v>
      </c>
      <c r="AO110" s="220" t="n">
        <f aca="false">Algae_electricity_factor/S110</f>
        <v>0.00118148266525074</v>
      </c>
      <c r="AP110" s="220" t="n">
        <f aca="false">Algae_electricity_factor/T110</f>
        <v>0.0010923071930335</v>
      </c>
      <c r="AQ110" s="220" t="n">
        <f aca="false">Algae_electricity_factor/U110</f>
        <v>0.00102378048886057</v>
      </c>
      <c r="AR110" s="220" t="n">
        <f aca="false">Algae_electricity_factor/V110</f>
        <v>0.000975048902308255</v>
      </c>
      <c r="AS110" s="220" t="n">
        <f aca="false">Algae_electricity_factor/W110</f>
        <v>0.000942272836674917</v>
      </c>
      <c r="AT110" s="220" t="n">
        <f aca="false">Algae_electricity_factor/X110</f>
        <v>0.000921046452748311</v>
      </c>
      <c r="AU110" s="220" t="n">
        <f aca="false">Algae_electricity_factor/Y110</f>
        <v>0.00090763468261263</v>
      </c>
      <c r="AV110" s="220" t="n">
        <f aca="false">Algae_electricity_factor/Z110</f>
        <v>0.000899292128124285</v>
      </c>
      <c r="AW110" s="220" t="n">
        <f aca="false">Algae_electricity_factor/AA110</f>
        <v>0.000894153212648545</v>
      </c>
      <c r="AX110" s="220" t="n">
        <f aca="false">Algae_electricity_factor/AB110</f>
        <v>0.000891006718789463</v>
      </c>
      <c r="AY110" s="220" t="n">
        <f aca="false">Algae_electricity_factor/AC110</f>
        <v>0.000889087263193674</v>
      </c>
      <c r="AZ110" s="211" t="n">
        <f aca="false">Algae_yield_cost_factor/H110</f>
        <v>0.0981099444598604</v>
      </c>
      <c r="BA110" s="18" t="n">
        <f aca="false">Algae_yield_cost_factor/I110</f>
        <v>0.0981099444598604</v>
      </c>
      <c r="BB110" s="18" t="n">
        <f aca="false">Algae_yield_cost_factor/J110</f>
        <v>0.0981099444598604</v>
      </c>
      <c r="BC110" s="18" t="n">
        <f aca="false">Algae_yield_cost_factor/K110</f>
        <v>0.0981099444598604</v>
      </c>
      <c r="BD110" s="18" t="n">
        <f aca="false">Algae_yield_cost_factor/L110</f>
        <v>0.0981099444598604</v>
      </c>
      <c r="BE110" s="18" t="n">
        <f aca="false">Algae_yield_cost_factor/M110</f>
        <v>0.0936676732666773</v>
      </c>
      <c r="BF110" s="18" t="n">
        <f aca="false">Algae_yield_cost_factor/N110</f>
        <v>0.0911922651904949</v>
      </c>
      <c r="BG110" s="18" t="n">
        <f aca="false">Algae_yield_cost_factor/O110</f>
        <v>0.0876605506735101</v>
      </c>
      <c r="BH110" s="18" t="n">
        <f aca="false">Algae_yield_cost_factor/P110</f>
        <v>0.0829734663913833</v>
      </c>
      <c r="BI110" s="18" t="n">
        <f aca="false">Algae_yield_cost_factor/Q110</f>
        <v>0.0773163700133119</v>
      </c>
      <c r="BJ110" s="18" t="n">
        <f aca="false">Algae_yield_cost_factor/R110</f>
        <v>0.0712210874655758</v>
      </c>
      <c r="BK110" s="18" t="n">
        <f aca="false">Algae_yield_cost_factor/S110</f>
        <v>0.065406629639907</v>
      </c>
      <c r="BL110" s="18" t="n">
        <f aca="false">Algae_yield_cost_factor/T110</f>
        <v>0.0604698944208262</v>
      </c>
      <c r="BM110" s="18" t="n">
        <f aca="false">Algae_yield_cost_factor/U110</f>
        <v>0.056676270619049</v>
      </c>
      <c r="BN110" s="18" t="n">
        <f aca="false">Algae_yield_cost_factor/V110</f>
        <v>0.0539785003282627</v>
      </c>
      <c r="BO110" s="18" t="n">
        <f aca="false">Algae_yield_cost_factor/W110</f>
        <v>0.0521640242898199</v>
      </c>
      <c r="BP110" s="18" t="n">
        <f aca="false">Algae_yield_cost_factor/X110</f>
        <v>0.0509889361798413</v>
      </c>
      <c r="BQ110" s="18" t="n">
        <f aca="false">Algae_yield_cost_factor/Y110</f>
        <v>0.0502464634310821</v>
      </c>
      <c r="BR110" s="18" t="n">
        <f aca="false">Algae_yield_cost_factor/Z110</f>
        <v>0.0497846213848815</v>
      </c>
      <c r="BS110" s="18" t="n">
        <f aca="false">Algae_yield_cost_factor/AA110</f>
        <v>0.0495001321146126</v>
      </c>
      <c r="BT110" s="18" t="n">
        <f aca="false">Algae_yield_cost_factor/AB110</f>
        <v>0.0493259428822538</v>
      </c>
      <c r="BU110" s="18" t="n">
        <f aca="false">Algae_yield_cost_factor/AC110</f>
        <v>0.0492196822277758</v>
      </c>
    </row>
    <row r="111" customFormat="false" ht="15" hidden="false" customHeight="false" outlineLevel="0" collapsed="false">
      <c r="A111" s="18" t="s">
        <v>707</v>
      </c>
      <c r="B111" s="18" t="s">
        <v>22</v>
      </c>
      <c r="C111" s="18" t="s">
        <v>684</v>
      </c>
      <c r="D111" s="18" t="s">
        <v>684</v>
      </c>
      <c r="E111" s="185" t="n">
        <v>7.6065</v>
      </c>
      <c r="F111" s="18" t="n">
        <f aca="false">E111/$B$2*$F$3/1000</f>
        <v>0.018635925</v>
      </c>
      <c r="G111" s="18" t="n">
        <f aca="false">LOOKUP(RIGHT(D111,5),Ref!$C$4:$C$21,Ref!$E$4:$E$21)*$G$3</f>
        <v>3.5</v>
      </c>
      <c r="H111" s="222" t="n">
        <f aca="false">$E111</f>
        <v>7.6065</v>
      </c>
      <c r="I111" s="185" t="n">
        <f aca="false">$E111</f>
        <v>7.6065</v>
      </c>
      <c r="J111" s="185" t="n">
        <f aca="false">$E111</f>
        <v>7.6065</v>
      </c>
      <c r="K111" s="185" t="n">
        <f aca="false">$E111</f>
        <v>7.6065</v>
      </c>
      <c r="L111" s="185" t="n">
        <f aca="false">$E111</f>
        <v>7.6065</v>
      </c>
      <c r="M111" s="185" t="n">
        <f aca="false">M$3*$E111</f>
        <v>7.96724490432516</v>
      </c>
      <c r="N111" s="185" t="n">
        <f aca="false">N$3*$E111</f>
        <v>8.18351524633159</v>
      </c>
      <c r="O111" s="185" t="n">
        <f aca="false">O$3*$E111</f>
        <v>8.51321702636124</v>
      </c>
      <c r="P111" s="185" t="n">
        <f aca="false">P$3*$E111</f>
        <v>8.99411974683305</v>
      </c>
      <c r="Q111" s="185" t="n">
        <f aca="false">Q$3*$E111</f>
        <v>9.65220292165087</v>
      </c>
      <c r="R111" s="185" t="n">
        <f aca="false">R$3*$E111</f>
        <v>10.4782630972131</v>
      </c>
      <c r="S111" s="185" t="n">
        <f aca="false">S$3*$E111</f>
        <v>11.40975</v>
      </c>
      <c r="T111" s="185" t="n">
        <f aca="false">T$3*$E111</f>
        <v>12.3412369027869</v>
      </c>
      <c r="U111" s="185" t="n">
        <f aca="false">U$3*$E111</f>
        <v>13.1672970783491</v>
      </c>
      <c r="V111" s="185" t="n">
        <f aca="false">V$3*$E111</f>
        <v>13.825380253167</v>
      </c>
      <c r="W111" s="185" t="n">
        <f aca="false">W$3*$E111</f>
        <v>14.3062829736388</v>
      </c>
      <c r="X111" s="185" t="n">
        <f aca="false">X$3*$E111</f>
        <v>14.6359847536684</v>
      </c>
      <c r="Y111" s="185" t="n">
        <f aca="false">Y$3*$E111</f>
        <v>14.8522550956748</v>
      </c>
      <c r="Z111" s="185" t="n">
        <f aca="false">Z$3*$E111</f>
        <v>14.9900365167898</v>
      </c>
      <c r="AA111" s="185" t="n">
        <f aca="false">AA$3*$E111</f>
        <v>15.0761878939234</v>
      </c>
      <c r="AB111" s="185" t="n">
        <f aca="false">AB$3*$E111</f>
        <v>15.1294278208804</v>
      </c>
      <c r="AC111" s="185" t="n">
        <f aca="false">AC$3*$E111</f>
        <v>15.1620908294444</v>
      </c>
      <c r="AD111" s="219" t="n">
        <f aca="false">Algae_electricity_factor/H111</f>
        <v>0.00180682273102337</v>
      </c>
      <c r="AE111" s="220" t="n">
        <f aca="false">Algae_electricity_factor/I111</f>
        <v>0.00180682273102337</v>
      </c>
      <c r="AF111" s="220" t="n">
        <f aca="false">Algae_electricity_factor/J111</f>
        <v>0.00180682273102337</v>
      </c>
      <c r="AG111" s="220" t="n">
        <f aca="false">Algae_electricity_factor/K111</f>
        <v>0.00180682273102337</v>
      </c>
      <c r="AH111" s="220" t="n">
        <f aca="false">Algae_electricity_factor/L111</f>
        <v>0.00180682273102337</v>
      </c>
      <c r="AI111" s="220" t="n">
        <f aca="false">Algae_electricity_factor/M111</f>
        <v>0.00172501250665312</v>
      </c>
      <c r="AJ111" s="220" t="n">
        <f aca="false">Algae_electricity_factor/N111</f>
        <v>0.00167942463474851</v>
      </c>
      <c r="AK111" s="220" t="n">
        <f aca="false">Algae_electricity_factor/O111</f>
        <v>0.00161438350049953</v>
      </c>
      <c r="AL111" s="220" t="n">
        <f aca="false">Algae_electricity_factor/P111</f>
        <v>0.00152806472343984</v>
      </c>
      <c r="AM111" s="220" t="n">
        <f aca="false">Algae_electricity_factor/Q111</f>
        <v>0.00142388190707232</v>
      </c>
      <c r="AN111" s="220" t="n">
        <f aca="false">Algae_electricity_factor/R111</f>
        <v>0.00131162932024341</v>
      </c>
      <c r="AO111" s="220" t="n">
        <f aca="false">Algae_electricity_factor/S111</f>
        <v>0.00120454848734891</v>
      </c>
      <c r="AP111" s="220" t="n">
        <f aca="false">Algae_electricity_factor/T111</f>
        <v>0.00111363206231182</v>
      </c>
      <c r="AQ111" s="220" t="n">
        <f aca="false">Algae_electricity_factor/U111</f>
        <v>0.00104376752660405</v>
      </c>
      <c r="AR111" s="220" t="n">
        <f aca="false">Algae_electricity_factor/V111</f>
        <v>0.000994084564175444</v>
      </c>
      <c r="AS111" s="220" t="n">
        <f aca="false">Algae_electricity_factor/W111</f>
        <v>0.000960668618735815</v>
      </c>
      <c r="AT111" s="220" t="n">
        <f aca="false">Algae_electricity_factor/X111</f>
        <v>0.000939027836858365</v>
      </c>
      <c r="AU111" s="220" t="n">
        <f aca="false">Algae_electricity_factor/Y111</f>
        <v>0.000925354231730881</v>
      </c>
      <c r="AV111" s="220" t="n">
        <f aca="false">Algae_electricity_factor/Z111</f>
        <v>0.000916848807415215</v>
      </c>
      <c r="AW111" s="220" t="n">
        <f aca="false">Algae_electricity_factor/AA111</f>
        <v>0.000911609566040815</v>
      </c>
      <c r="AX111" s="220" t="n">
        <f aca="false">Algae_electricity_factor/AB111</f>
        <v>0.000908401643885136</v>
      </c>
      <c r="AY111" s="220" t="n">
        <f aca="false">Algae_electricity_factor/AC111</f>
        <v>0.000906444715186609</v>
      </c>
      <c r="AZ111" s="211" t="n">
        <f aca="false">Algae_yield_cost_factor/H111</f>
        <v>0.100025322985107</v>
      </c>
      <c r="BA111" s="18" t="n">
        <f aca="false">Algae_yield_cost_factor/I111</f>
        <v>0.100025322985107</v>
      </c>
      <c r="BB111" s="18" t="n">
        <f aca="false">Algae_yield_cost_factor/J111</f>
        <v>0.100025322985107</v>
      </c>
      <c r="BC111" s="18" t="n">
        <f aca="false">Algae_yield_cost_factor/K111</f>
        <v>0.100025322985107</v>
      </c>
      <c r="BD111" s="18" t="n">
        <f aca="false">Algae_yield_cost_factor/L111</f>
        <v>0.100025322985107</v>
      </c>
      <c r="BE111" s="18" t="n">
        <f aca="false">Algae_yield_cost_factor/M111</f>
        <v>0.0954963263239443</v>
      </c>
      <c r="BF111" s="18" t="n">
        <f aca="false">Algae_yield_cost_factor/N111</f>
        <v>0.0929725914089644</v>
      </c>
      <c r="BG111" s="18" t="n">
        <f aca="false">Algae_yield_cost_factor/O111</f>
        <v>0.0893719280185461</v>
      </c>
      <c r="BH111" s="18" t="n">
        <f aca="false">Algae_yield_cost_factor/P111</f>
        <v>0.084593338837202</v>
      </c>
      <c r="BI111" s="18" t="n">
        <f aca="false">Algae_yield_cost_factor/Q111</f>
        <v>0.0788258002304915</v>
      </c>
      <c r="BJ111" s="18" t="n">
        <f aca="false">Algae_yield_cost_factor/R111</f>
        <v>0.0726115208434286</v>
      </c>
      <c r="BK111" s="18" t="n">
        <f aca="false">Algae_yield_cost_factor/S111</f>
        <v>0.0666835486567381</v>
      </c>
      <c r="BL111" s="18" t="n">
        <f aca="false">Algae_yield_cost_factor/T111</f>
        <v>0.0616504346589768</v>
      </c>
      <c r="BM111" s="18" t="n">
        <f aca="false">Algae_yield_cost_factor/U111</f>
        <v>0.0577827487873167</v>
      </c>
      <c r="BN111" s="18" t="n">
        <f aca="false">Algae_yield_cost_factor/V111</f>
        <v>0.055032310529899</v>
      </c>
      <c r="BO111" s="18" t="n">
        <f aca="false">Algae_yield_cost_factor/W111</f>
        <v>0.0531824108811612</v>
      </c>
      <c r="BP111" s="18" t="n">
        <f aca="false">Algae_yield_cost_factor/X111</f>
        <v>0.0519843817885583</v>
      </c>
      <c r="BQ111" s="18" t="n">
        <f aca="false">Algae_yield_cost_factor/Y111</f>
        <v>0.0512274139102138</v>
      </c>
      <c r="BR111" s="18" t="n">
        <f aca="false">Algae_yield_cost_factor/Z111</f>
        <v>0.0507565554249334</v>
      </c>
      <c r="BS111" s="18" t="n">
        <f aca="false">Algae_yield_cost_factor/AA111</f>
        <v>0.0504665121342037</v>
      </c>
      <c r="BT111" s="18" t="n">
        <f aca="false">Algae_yield_cost_factor/AB111</f>
        <v>0.0502889222443803</v>
      </c>
      <c r="BU111" s="18" t="n">
        <f aca="false">Algae_yield_cost_factor/AC111</f>
        <v>0.0501805870868864</v>
      </c>
    </row>
    <row r="112" customFormat="false" ht="15" hidden="false" customHeight="false" outlineLevel="0" collapsed="false">
      <c r="A112" s="18" t="s">
        <v>707</v>
      </c>
      <c r="B112" s="18" t="s">
        <v>22</v>
      </c>
      <c r="C112" s="18" t="s">
        <v>685</v>
      </c>
      <c r="D112" s="18" t="s">
        <v>685</v>
      </c>
      <c r="E112" s="185" t="n">
        <v>8.91</v>
      </c>
      <c r="F112" s="18" t="n">
        <f aca="false">E112/$B$2*$F$3/1000</f>
        <v>0.0218295</v>
      </c>
      <c r="G112" s="18" t="n">
        <f aca="false">LOOKUP(RIGHT(D112,5),Ref!$C$4:$C$21,Ref!$E$4:$E$21)*$G$3</f>
        <v>4</v>
      </c>
      <c r="H112" s="222" t="n">
        <f aca="false">$E112</f>
        <v>8.91</v>
      </c>
      <c r="I112" s="185" t="n">
        <f aca="false">$E112</f>
        <v>8.91</v>
      </c>
      <c r="J112" s="185" t="n">
        <f aca="false">$E112</f>
        <v>8.91</v>
      </c>
      <c r="K112" s="185" t="n">
        <f aca="false">$E112</f>
        <v>8.91</v>
      </c>
      <c r="L112" s="185" t="n">
        <f aca="false">$E112</f>
        <v>8.91</v>
      </c>
      <c r="M112" s="185" t="n">
        <f aca="false">M$3*$E112</f>
        <v>9.33256453001212</v>
      </c>
      <c r="N112" s="185" t="n">
        <f aca="false">N$3*$E112</f>
        <v>9.58589638398928</v>
      </c>
      <c r="O112" s="185" t="n">
        <f aca="false">O$3*$E112</f>
        <v>9.97209803521707</v>
      </c>
      <c r="P112" s="185" t="n">
        <f aca="false">P$3*$E112</f>
        <v>10.5354114171146</v>
      </c>
      <c r="Q112" s="185" t="n">
        <f aca="false">Q$3*$E112</f>
        <v>11.3062680644067</v>
      </c>
      <c r="R112" s="185" t="n">
        <f aca="false">R$3*$E112</f>
        <v>12.2738873589915</v>
      </c>
      <c r="S112" s="185" t="n">
        <f aca="false">S$3*$E112</f>
        <v>13.365</v>
      </c>
      <c r="T112" s="185" t="n">
        <f aca="false">T$3*$E112</f>
        <v>14.4561126410085</v>
      </c>
      <c r="U112" s="185" t="n">
        <f aca="false">U$3*$E112</f>
        <v>15.4237319355933</v>
      </c>
      <c r="V112" s="185" t="n">
        <f aca="false">V$3*$E112</f>
        <v>16.1945885828854</v>
      </c>
      <c r="W112" s="185" t="n">
        <f aca="false">W$3*$E112</f>
        <v>16.7579019647829</v>
      </c>
      <c r="X112" s="185" t="n">
        <f aca="false">X$3*$E112</f>
        <v>17.1441036160107</v>
      </c>
      <c r="Y112" s="185" t="n">
        <f aca="false">Y$3*$E112</f>
        <v>17.3974354699879</v>
      </c>
      <c r="Z112" s="185" t="n">
        <f aca="false">Z$3*$E112</f>
        <v>17.5588280240054</v>
      </c>
      <c r="AA112" s="185" t="n">
        <f aca="false">AA$3*$E112</f>
        <v>17.6597428692378</v>
      </c>
      <c r="AB112" s="185" t="n">
        <f aca="false">AB$3*$E112</f>
        <v>17.7221063411614</v>
      </c>
      <c r="AC112" s="185" t="n">
        <f aca="false">AC$3*$E112</f>
        <v>17.7603666982646</v>
      </c>
      <c r="AD112" s="219" t="n">
        <f aca="false">Algae_electricity_factor/H112</f>
        <v>0.00154249125741069</v>
      </c>
      <c r="AE112" s="220" t="n">
        <f aca="false">Algae_electricity_factor/I112</f>
        <v>0.00154249125741069</v>
      </c>
      <c r="AF112" s="220" t="n">
        <f aca="false">Algae_electricity_factor/J112</f>
        <v>0.00154249125741069</v>
      </c>
      <c r="AG112" s="220" t="n">
        <f aca="false">Algae_electricity_factor/K112</f>
        <v>0.00154249125741069</v>
      </c>
      <c r="AH112" s="220" t="n">
        <f aca="false">Algae_electricity_factor/L112</f>
        <v>0.00154249125741069</v>
      </c>
      <c r="AI112" s="220" t="n">
        <f aca="false">Algae_electricity_factor/M112</f>
        <v>0.00147264956586498</v>
      </c>
      <c r="AJ112" s="220" t="n">
        <f aca="false">Algae_electricity_factor/N112</f>
        <v>0.00143373103077604</v>
      </c>
      <c r="AK112" s="220" t="n">
        <f aca="false">Algae_electricity_factor/O112</f>
        <v>0.0013782051735746</v>
      </c>
      <c r="AL112" s="220" t="n">
        <f aca="false">Algae_electricity_factor/P112</f>
        <v>0.00130451451389957</v>
      </c>
      <c r="AM112" s="220" t="n">
        <f aca="false">Algae_electricity_factor/Q112</f>
        <v>0.00121557325770433</v>
      </c>
      <c r="AN112" s="220" t="n">
        <f aca="false">Algae_electricity_factor/R112</f>
        <v>0.00111974280857817</v>
      </c>
      <c r="AO112" s="220" t="n">
        <f aca="false">Algae_electricity_factor/S112</f>
        <v>0.00102832750494046</v>
      </c>
      <c r="AP112" s="220" t="n">
        <f aca="false">Algae_electricity_factor/T112</f>
        <v>0.00095071181615879</v>
      </c>
      <c r="AQ112" s="220" t="n">
        <f aca="false">Algae_electricity_factor/U112</f>
        <v>0.000891068203267535</v>
      </c>
      <c r="AR112" s="220" t="n">
        <f aca="false">Algae_electricity_factor/V112</f>
        <v>0.000848653674231259</v>
      </c>
      <c r="AS112" s="220" t="n">
        <f aca="false">Algae_electricity_factor/W112</f>
        <v>0.000820126357846687</v>
      </c>
      <c r="AT112" s="220" t="n">
        <f aca="false">Algae_electricity_factor/X112</f>
        <v>0.000801651542206863</v>
      </c>
      <c r="AU112" s="220" t="n">
        <f aca="false">Algae_electricity_factor/Y112</f>
        <v>0.000789978334866549</v>
      </c>
      <c r="AV112" s="220" t="n">
        <f aca="false">Algae_electricity_factor/Z112</f>
        <v>0.000782717222626693</v>
      </c>
      <c r="AW112" s="220" t="n">
        <f aca="false">Algae_electricity_factor/AA112</f>
        <v>0.00077824446286077</v>
      </c>
      <c r="AX112" s="220" t="n">
        <f aca="false">Algae_electricity_factor/AB112</f>
        <v>0.000775505847835273</v>
      </c>
      <c r="AY112" s="220" t="n">
        <f aca="false">Algae_electricity_factor/AC112</f>
        <v>0.000773835210557458</v>
      </c>
      <c r="AZ112" s="211" t="n">
        <f aca="false">Algae_yield_cost_factor/H112</f>
        <v>0.0853919886965452</v>
      </c>
      <c r="BA112" s="18" t="n">
        <f aca="false">Algae_yield_cost_factor/I112</f>
        <v>0.0853919886965452</v>
      </c>
      <c r="BB112" s="18" t="n">
        <f aca="false">Algae_yield_cost_factor/J112</f>
        <v>0.0853919886965452</v>
      </c>
      <c r="BC112" s="18" t="n">
        <f aca="false">Algae_yield_cost_factor/K112</f>
        <v>0.0853919886965452</v>
      </c>
      <c r="BD112" s="18" t="n">
        <f aca="false">Algae_yield_cost_factor/L112</f>
        <v>0.0853919886965452</v>
      </c>
      <c r="BE112" s="18" t="n">
        <f aca="false">Algae_yield_cost_factor/M112</f>
        <v>0.0815255674728487</v>
      </c>
      <c r="BF112" s="18" t="n">
        <f aca="false">Algae_yield_cost_factor/N112</f>
        <v>0.0793710456287641</v>
      </c>
      <c r="BG112" s="18" t="n">
        <f aca="false">Algae_yield_cost_factor/O112</f>
        <v>0.0762971459565736</v>
      </c>
      <c r="BH112" s="18" t="n">
        <f aca="false">Algae_yield_cost_factor/P112</f>
        <v>0.0722176466739817</v>
      </c>
      <c r="BI112" s="18" t="n">
        <f aca="false">Algae_yield_cost_factor/Q112</f>
        <v>0.0672938776041789</v>
      </c>
      <c r="BJ112" s="18" t="n">
        <f aca="false">Algae_yield_cost_factor/R112</f>
        <v>0.0619887242755937</v>
      </c>
      <c r="BK112" s="18" t="n">
        <f aca="false">Algae_yield_cost_factor/S112</f>
        <v>0.0569279924643635</v>
      </c>
      <c r="BL112" s="18" t="n">
        <f aca="false">Algae_yield_cost_factor/T112</f>
        <v>0.0526312044033117</v>
      </c>
      <c r="BM112" s="18" t="n">
        <f aca="false">Algae_yield_cost_factor/U112</f>
        <v>0.049329346649913</v>
      </c>
      <c r="BN112" s="18" t="n">
        <f aca="false">Algae_yield_cost_factor/V112</f>
        <v>0.0469812873227471</v>
      </c>
      <c r="BO112" s="18" t="n">
        <f aca="false">Algae_yield_cost_factor/W112</f>
        <v>0.0454020211411395</v>
      </c>
      <c r="BP112" s="18" t="n">
        <f aca="false">Algae_yield_cost_factor/X112</f>
        <v>0.0443792592676396</v>
      </c>
      <c r="BQ112" s="18" t="n">
        <f aca="false">Algae_yield_cost_factor/Y112</f>
        <v>0.0437330329863122</v>
      </c>
      <c r="BR112" s="18" t="n">
        <f aca="false">Algae_yield_cost_factor/Z112</f>
        <v>0.043331059353508</v>
      </c>
      <c r="BS112" s="18" t="n">
        <f aca="false">Algae_yield_cost_factor/AA112</f>
        <v>0.0430834483219776</v>
      </c>
      <c r="BT112" s="18" t="n">
        <f aca="false">Algae_yield_cost_factor/AB112</f>
        <v>0.042931839175295</v>
      </c>
      <c r="BU112" s="18" t="n">
        <f aca="false">Algae_yield_cost_factor/AC112</f>
        <v>0.0428393530501012</v>
      </c>
    </row>
    <row r="113" customFormat="false" ht="15" hidden="false" customHeight="false" outlineLevel="0" collapsed="false">
      <c r="A113" s="18" t="s">
        <v>707</v>
      </c>
      <c r="B113" s="18" t="s">
        <v>22</v>
      </c>
      <c r="C113" s="18" t="s">
        <v>686</v>
      </c>
      <c r="D113" s="18" t="s">
        <v>686</v>
      </c>
      <c r="E113" s="185" t="n">
        <v>8.76975</v>
      </c>
      <c r="F113" s="18" t="n">
        <f aca="false">E113/$B$2*$F$3/1000</f>
        <v>0.0214858875</v>
      </c>
      <c r="G113" s="18" t="n">
        <f aca="false">LOOKUP(RIGHT(D113,5),Ref!$C$4:$C$21,Ref!$E$4:$E$21)*$G$3</f>
        <v>4.5</v>
      </c>
      <c r="H113" s="222" t="n">
        <f aca="false">$E113</f>
        <v>8.76975</v>
      </c>
      <c r="I113" s="185" t="n">
        <f aca="false">$E113</f>
        <v>8.76975</v>
      </c>
      <c r="J113" s="185" t="n">
        <f aca="false">$E113</f>
        <v>8.76975</v>
      </c>
      <c r="K113" s="185" t="n">
        <f aca="false">$E113</f>
        <v>8.76975</v>
      </c>
      <c r="L113" s="185" t="n">
        <f aca="false">$E113</f>
        <v>8.76975</v>
      </c>
      <c r="M113" s="185" t="n">
        <f aca="false">M$3*$E113</f>
        <v>9.18566305129897</v>
      </c>
      <c r="N113" s="185" t="n">
        <f aca="false">N$3*$E113</f>
        <v>9.4350072742413</v>
      </c>
      <c r="O113" s="185" t="n">
        <f aca="false">O$3*$E113</f>
        <v>9.81512982540347</v>
      </c>
      <c r="P113" s="185" t="n">
        <f aca="false">P$3*$E113</f>
        <v>10.3695762374008</v>
      </c>
      <c r="Q113" s="185" t="n">
        <f aca="false">Q$3*$E113</f>
        <v>11.1282990300595</v>
      </c>
      <c r="R113" s="185" t="n">
        <f aca="false">R$3*$E113</f>
        <v>12.0806872801925</v>
      </c>
      <c r="S113" s="185" t="n">
        <f aca="false">S$3*$E113</f>
        <v>13.154625</v>
      </c>
      <c r="T113" s="185" t="n">
        <f aca="false">T$3*$E113</f>
        <v>14.2285627198075</v>
      </c>
      <c r="U113" s="185" t="n">
        <f aca="false">U$3*$E113</f>
        <v>15.1809509699405</v>
      </c>
      <c r="V113" s="185" t="n">
        <f aca="false">V$3*$E113</f>
        <v>15.9396737625992</v>
      </c>
      <c r="W113" s="185" t="n">
        <f aca="false">W$3*$E113</f>
        <v>16.4941201745965</v>
      </c>
      <c r="X113" s="185" t="n">
        <f aca="false">X$3*$E113</f>
        <v>16.8742427257587</v>
      </c>
      <c r="Y113" s="185" t="n">
        <f aca="false">Y$3*$E113</f>
        <v>17.123586948701</v>
      </c>
      <c r="Z113" s="185" t="n">
        <f aca="false">Z$3*$E113</f>
        <v>17.2824390643683</v>
      </c>
      <c r="AA113" s="185" t="n">
        <f aca="false">AA$3*$E113</f>
        <v>17.3817654351849</v>
      </c>
      <c r="AB113" s="185" t="n">
        <f aca="false">AB$3*$E113</f>
        <v>17.4431472598654</v>
      </c>
      <c r="AC113" s="185" t="n">
        <f aca="false">AC$3*$E113</f>
        <v>17.4808053706068</v>
      </c>
      <c r="AD113" s="219" t="n">
        <f aca="false">Algae_electricity_factor/H113</f>
        <v>0.00156715950894031</v>
      </c>
      <c r="AE113" s="220" t="n">
        <f aca="false">Algae_electricity_factor/I113</f>
        <v>0.00156715950894031</v>
      </c>
      <c r="AF113" s="220" t="n">
        <f aca="false">Algae_electricity_factor/J113</f>
        <v>0.00156715950894031</v>
      </c>
      <c r="AG113" s="220" t="n">
        <f aca="false">Algae_electricity_factor/K113</f>
        <v>0.00156715950894031</v>
      </c>
      <c r="AH113" s="220" t="n">
        <f aca="false">Algae_electricity_factor/L113</f>
        <v>0.00156715950894031</v>
      </c>
      <c r="AI113" s="220" t="n">
        <f aca="false">Algae_electricity_factor/M113</f>
        <v>0.00149620087594937</v>
      </c>
      <c r="AJ113" s="220" t="n">
        <f aca="false">Algae_electricity_factor/N113</f>
        <v>0.00145665993719485</v>
      </c>
      <c r="AK113" s="220" t="n">
        <f aca="false">Algae_electricity_factor/O113</f>
        <v>0.00140024608415858</v>
      </c>
      <c r="AL113" s="220" t="n">
        <f aca="false">Algae_electricity_factor/P113</f>
        <v>0.00132537692851508</v>
      </c>
      <c r="AM113" s="220" t="n">
        <f aca="false">Algae_electricity_factor/Q113</f>
        <v>0.00123501328158107</v>
      </c>
      <c r="AN113" s="220" t="n">
        <f aca="false">Algae_electricity_factor/R113</f>
        <v>0.00113765026647641</v>
      </c>
      <c r="AO113" s="220" t="n">
        <f aca="false">Algae_electricity_factor/S113</f>
        <v>0.00104477300596021</v>
      </c>
      <c r="AP113" s="220" t="n">
        <f aca="false">Algae_electricity_factor/T113</f>
        <v>0.000965916050283625</v>
      </c>
      <c r="AQ113" s="220" t="n">
        <f aca="false">Algae_electricity_factor/U113</f>
        <v>0.000905318588456197</v>
      </c>
      <c r="AR113" s="220" t="n">
        <f aca="false">Algae_electricity_factor/V113</f>
        <v>0.00086222574616158</v>
      </c>
      <c r="AS113" s="220" t="n">
        <f aca="false">Algae_electricity_factor/W113</f>
        <v>0.000833242207407734</v>
      </c>
      <c r="AT113" s="220" t="n">
        <f aca="false">Algae_electricity_factor/X113</f>
        <v>0.000814471933756738</v>
      </c>
      <c r="AU113" s="220" t="n">
        <f aca="false">Algae_electricity_factor/Y113</f>
        <v>0.000802612042950021</v>
      </c>
      <c r="AV113" s="220" t="n">
        <f aca="false">Algae_electricity_factor/Z113</f>
        <v>0.000795234807560516</v>
      </c>
      <c r="AW113" s="220" t="n">
        <f aca="false">Algae_electricity_factor/AA113</f>
        <v>0.000790690517299748</v>
      </c>
      <c r="AX113" s="220" t="n">
        <f aca="false">Algae_electricity_factor/AB113</f>
        <v>0.000787908105044304</v>
      </c>
      <c r="AY113" s="220" t="n">
        <f aca="false">Algae_electricity_factor/AC113</f>
        <v>0.000786210750143042</v>
      </c>
      <c r="AZ113" s="211" t="n">
        <f aca="false">Algae_yield_cost_factor/H113</f>
        <v>0.0867576178666687</v>
      </c>
      <c r="BA113" s="18" t="n">
        <f aca="false">Algae_yield_cost_factor/I113</f>
        <v>0.0867576178666687</v>
      </c>
      <c r="BB113" s="18" t="n">
        <f aca="false">Algae_yield_cost_factor/J113</f>
        <v>0.0867576178666687</v>
      </c>
      <c r="BC113" s="18" t="n">
        <f aca="false">Algae_yield_cost_factor/K113</f>
        <v>0.0867576178666687</v>
      </c>
      <c r="BD113" s="18" t="n">
        <f aca="false">Algae_yield_cost_factor/L113</f>
        <v>0.0867576178666687</v>
      </c>
      <c r="BE113" s="18" t="n">
        <f aca="false">Algae_yield_cost_factor/M113</f>
        <v>0.0828293630015772</v>
      </c>
      <c r="BF113" s="18" t="n">
        <f aca="false">Algae_yield_cost_factor/N113</f>
        <v>0.0806403850226389</v>
      </c>
      <c r="BG113" s="18" t="n">
        <f aca="false">Algae_yield_cost_factor/O113</f>
        <v>0.0775173260894633</v>
      </c>
      <c r="BH113" s="18" t="n">
        <f aca="false">Algae_yield_cost_factor/P113</f>
        <v>0.0733725855201319</v>
      </c>
      <c r="BI113" s="18" t="n">
        <f aca="false">Algae_yield_cost_factor/Q113</f>
        <v>0.068370073200859</v>
      </c>
      <c r="BJ113" s="18" t="n">
        <f aca="false">Algae_yield_cost_factor/R113</f>
        <v>0.0629800773449118</v>
      </c>
      <c r="BK113" s="18" t="n">
        <f aca="false">Algae_yield_cost_factor/S113</f>
        <v>0.0578384119111125</v>
      </c>
      <c r="BL113" s="18" t="n">
        <f aca="false">Algae_yield_cost_factor/T113</f>
        <v>0.053472907578153</v>
      </c>
      <c r="BM113" s="18" t="n">
        <f aca="false">Algae_yield_cost_factor/U113</f>
        <v>0.0501182449500527</v>
      </c>
      <c r="BN113" s="18" t="n">
        <f aca="false">Algae_yield_cost_factor/V113</f>
        <v>0.0477326343448419</v>
      </c>
      <c r="BO113" s="18" t="n">
        <f aca="false">Algae_yield_cost_factor/W113</f>
        <v>0.0461281117896808</v>
      </c>
      <c r="BP113" s="18" t="n">
        <f aca="false">Algae_yield_cost_factor/X113</f>
        <v>0.045088993423378</v>
      </c>
      <c r="BQ113" s="18" t="n">
        <f aca="false">Algae_yield_cost_factor/Y113</f>
        <v>0.0444324323849644</v>
      </c>
      <c r="BR113" s="18" t="n">
        <f aca="false">Algae_yield_cost_factor/Z113</f>
        <v>0.0440240301992367</v>
      </c>
      <c r="BS113" s="18" t="n">
        <f aca="false">Algae_yield_cost_factor/AA113</f>
        <v>0.0437724592546903</v>
      </c>
      <c r="BT113" s="18" t="n">
        <f aca="false">Algae_yield_cost_factor/AB113</f>
        <v>0.0436184255026516</v>
      </c>
      <c r="BU113" s="18" t="n">
        <f aca="false">Algae_yield_cost_factor/AC113</f>
        <v>0.0435244602954932</v>
      </c>
    </row>
    <row r="114" customFormat="false" ht="15" hidden="false" customHeight="false" outlineLevel="0" collapsed="false">
      <c r="A114" s="18" t="s">
        <v>707</v>
      </c>
      <c r="B114" s="18" t="s">
        <v>22</v>
      </c>
      <c r="C114" s="18" t="s">
        <v>687</v>
      </c>
      <c r="D114" s="18" t="s">
        <v>687</v>
      </c>
      <c r="E114" s="185" t="n">
        <v>8.4645</v>
      </c>
      <c r="F114" s="18" t="n">
        <f aca="false">E114/$B$2*$F$3/1000</f>
        <v>0.020738025</v>
      </c>
      <c r="G114" s="18" t="n">
        <f aca="false">LOOKUP(RIGHT(D114,5),Ref!$C$4:$C$21,Ref!$E$4:$E$21)*$G$3</f>
        <v>4.5</v>
      </c>
      <c r="H114" s="222" t="n">
        <f aca="false">$E114</f>
        <v>8.4645</v>
      </c>
      <c r="I114" s="185" t="n">
        <f aca="false">$E114</f>
        <v>8.4645</v>
      </c>
      <c r="J114" s="185" t="n">
        <f aca="false">$E114</f>
        <v>8.4645</v>
      </c>
      <c r="K114" s="185" t="n">
        <f aca="false">$E114</f>
        <v>8.4645</v>
      </c>
      <c r="L114" s="185" t="n">
        <f aca="false">$E114</f>
        <v>8.4645</v>
      </c>
      <c r="M114" s="185" t="n">
        <f aca="false">M$3*$E114</f>
        <v>8.86593630351151</v>
      </c>
      <c r="N114" s="185" t="n">
        <f aca="false">N$3*$E114</f>
        <v>9.10660156478982</v>
      </c>
      <c r="O114" s="185" t="n">
        <f aca="false">O$3*$E114</f>
        <v>9.47349313345622</v>
      </c>
      <c r="P114" s="185" t="n">
        <f aca="false">P$3*$E114</f>
        <v>10.0086408462589</v>
      </c>
      <c r="Q114" s="185" t="n">
        <f aca="false">Q$3*$E114</f>
        <v>10.7409546611863</v>
      </c>
      <c r="R114" s="185" t="n">
        <f aca="false">R$3*$E114</f>
        <v>11.6601929910419</v>
      </c>
      <c r="S114" s="185" t="n">
        <f aca="false">S$3*$E114</f>
        <v>12.69675</v>
      </c>
      <c r="T114" s="185" t="n">
        <f aca="false">T$3*$E114</f>
        <v>13.7333070089581</v>
      </c>
      <c r="U114" s="185" t="n">
        <f aca="false">U$3*$E114</f>
        <v>14.6525453388137</v>
      </c>
      <c r="V114" s="185" t="n">
        <f aca="false">V$3*$E114</f>
        <v>15.3848591537411</v>
      </c>
      <c r="W114" s="185" t="n">
        <f aca="false">W$3*$E114</f>
        <v>15.9200068665438</v>
      </c>
      <c r="X114" s="185" t="n">
        <f aca="false">X$3*$E114</f>
        <v>16.2868984352102</v>
      </c>
      <c r="Y114" s="185" t="n">
        <f aca="false">Y$3*$E114</f>
        <v>16.5275636964885</v>
      </c>
      <c r="Z114" s="185" t="n">
        <f aca="false">Z$3*$E114</f>
        <v>16.6808866228051</v>
      </c>
      <c r="AA114" s="185" t="n">
        <f aca="false">AA$3*$E114</f>
        <v>16.7767557257759</v>
      </c>
      <c r="AB114" s="185" t="n">
        <f aca="false">AB$3*$E114</f>
        <v>16.8360010241033</v>
      </c>
      <c r="AC114" s="185" t="n">
        <f aca="false">AC$3*$E114</f>
        <v>16.8723483633514</v>
      </c>
      <c r="AD114" s="219" t="n">
        <f aca="false">Algae_electricity_factor/H114</f>
        <v>0.00162367500780073</v>
      </c>
      <c r="AE114" s="220" t="n">
        <f aca="false">Algae_electricity_factor/I114</f>
        <v>0.00162367500780073</v>
      </c>
      <c r="AF114" s="220" t="n">
        <f aca="false">Algae_electricity_factor/J114</f>
        <v>0.00162367500780073</v>
      </c>
      <c r="AG114" s="220" t="n">
        <f aca="false">Algae_electricity_factor/K114</f>
        <v>0.00162367500780073</v>
      </c>
      <c r="AH114" s="220" t="n">
        <f aca="false">Algae_electricity_factor/L114</f>
        <v>0.00162367500780073</v>
      </c>
      <c r="AI114" s="220" t="n">
        <f aca="false">Algae_electricity_factor/M114</f>
        <v>0.00155015743775261</v>
      </c>
      <c r="AJ114" s="220" t="n">
        <f aca="false">Algae_electricity_factor/N114</f>
        <v>0.00150919055871162</v>
      </c>
      <c r="AK114" s="220" t="n">
        <f aca="false">Algae_electricity_factor/O114</f>
        <v>0.00145074228797326</v>
      </c>
      <c r="AL114" s="220" t="n">
        <f aca="false">Algae_electricity_factor/P114</f>
        <v>0.00137317317252586</v>
      </c>
      <c r="AM114" s="220" t="n">
        <f aca="false">Algae_electricity_factor/Q114</f>
        <v>0.00127955079758351</v>
      </c>
      <c r="AN114" s="220" t="n">
        <f aca="false">Algae_electricity_factor/R114</f>
        <v>0.0011786766406086</v>
      </c>
      <c r="AO114" s="220" t="n">
        <f aca="false">Algae_electricity_factor/S114</f>
        <v>0.00108245000520049</v>
      </c>
      <c r="AP114" s="220" t="n">
        <f aca="false">Algae_electricity_factor/T114</f>
        <v>0.00100074928016715</v>
      </c>
      <c r="AQ114" s="220" t="n">
        <f aca="false">Algae_electricity_factor/U114</f>
        <v>0.0009379665297553</v>
      </c>
      <c r="AR114" s="220" t="n">
        <f aca="false">Algae_electricity_factor/V114</f>
        <v>0.000893319657085536</v>
      </c>
      <c r="AS114" s="220" t="n">
        <f aca="false">Algae_electricity_factor/W114</f>
        <v>0.000863290902996512</v>
      </c>
      <c r="AT114" s="220" t="n">
        <f aca="false">Algae_electricity_factor/X114</f>
        <v>0.000843843728638804</v>
      </c>
      <c r="AU114" s="220" t="n">
        <f aca="false">Algae_electricity_factor/Y114</f>
        <v>0.000831556141964788</v>
      </c>
      <c r="AV114" s="220" t="n">
        <f aca="false">Algae_electricity_factor/Z114</f>
        <v>0.000823912865922834</v>
      </c>
      <c r="AW114" s="220" t="n">
        <f aca="false">Algae_electricity_factor/AA114</f>
        <v>0.000819204697748179</v>
      </c>
      <c r="AX114" s="220" t="n">
        <f aca="false">Algae_electricity_factor/AB114</f>
        <v>0.000816321945089761</v>
      </c>
      <c r="AY114" s="220" t="n">
        <f aca="false">Algae_electricity_factor/AC114</f>
        <v>0.000814563379534166</v>
      </c>
      <c r="AZ114" s="211" t="n">
        <f aca="false">Algae_yield_cost_factor/H114</f>
        <v>0.0898863038911002</v>
      </c>
      <c r="BA114" s="18" t="n">
        <f aca="false">Algae_yield_cost_factor/I114</f>
        <v>0.0898863038911002</v>
      </c>
      <c r="BB114" s="18" t="n">
        <f aca="false">Algae_yield_cost_factor/J114</f>
        <v>0.0898863038911002</v>
      </c>
      <c r="BC114" s="18" t="n">
        <f aca="false">Algae_yield_cost_factor/K114</f>
        <v>0.0898863038911002</v>
      </c>
      <c r="BD114" s="18" t="n">
        <f aca="false">Algae_yield_cost_factor/L114</f>
        <v>0.0898863038911002</v>
      </c>
      <c r="BE114" s="18" t="n">
        <f aca="false">Algae_yield_cost_factor/M114</f>
        <v>0.085816386813525</v>
      </c>
      <c r="BF114" s="18" t="n">
        <f aca="false">Algae_yield_cost_factor/N114</f>
        <v>0.0835484690829096</v>
      </c>
      <c r="BG114" s="18" t="n">
        <f aca="false">Algae_yield_cost_factor/O114</f>
        <v>0.0803127852174459</v>
      </c>
      <c r="BH114" s="18" t="n">
        <f aca="false">Algae_yield_cost_factor/P114</f>
        <v>0.0760185754462965</v>
      </c>
      <c r="BI114" s="18" t="n">
        <f aca="false">Algae_yield_cost_factor/Q114</f>
        <v>0.0708356606359777</v>
      </c>
      <c r="BJ114" s="18" t="n">
        <f aca="false">Algae_yield_cost_factor/R114</f>
        <v>0.0652512887111513</v>
      </c>
      <c r="BK114" s="18" t="n">
        <f aca="false">Algae_yield_cost_factor/S114</f>
        <v>0.0599242025940668</v>
      </c>
      <c r="BL114" s="18" t="n">
        <f aca="false">Algae_yield_cost_factor/T114</f>
        <v>0.0554012677929597</v>
      </c>
      <c r="BM114" s="18" t="n">
        <f aca="false">Algae_yield_cost_factor/U114</f>
        <v>0.05192562805254</v>
      </c>
      <c r="BN114" s="18" t="n">
        <f aca="false">Algae_yield_cost_factor/V114</f>
        <v>0.0494539866555233</v>
      </c>
      <c r="BO114" s="18" t="n">
        <f aca="false">Algae_yield_cost_factor/W114</f>
        <v>0.0477916012011995</v>
      </c>
      <c r="BP114" s="18" t="n">
        <f aca="false">Algae_yield_cost_factor/X114</f>
        <v>0.0467150097554101</v>
      </c>
      <c r="BQ114" s="18" t="n">
        <f aca="false">Algae_yield_cost_factor/Y114</f>
        <v>0.0460347715645391</v>
      </c>
      <c r="BR114" s="18" t="n">
        <f aca="false">Algae_yield_cost_factor/Z114</f>
        <v>0.0456116414247452</v>
      </c>
      <c r="BS114" s="18" t="n">
        <f aca="false">Algae_yield_cost_factor/AA114</f>
        <v>0.0453509982336606</v>
      </c>
      <c r="BT114" s="18" t="n">
        <f aca="false">Algae_yield_cost_factor/AB114</f>
        <v>0.0451914096582053</v>
      </c>
      <c r="BU114" s="18" t="n">
        <f aca="false">Algae_yield_cost_factor/AC114</f>
        <v>0.0450940558422118</v>
      </c>
    </row>
    <row r="115" customFormat="false" ht="15" hidden="false" customHeight="false" outlineLevel="0" collapsed="false">
      <c r="A115" s="18" t="s">
        <v>707</v>
      </c>
      <c r="B115" s="18" t="s">
        <v>22</v>
      </c>
      <c r="C115" s="18" t="s">
        <v>688</v>
      </c>
      <c r="D115" s="18" t="s">
        <v>688</v>
      </c>
      <c r="E115" s="185" t="n">
        <v>8.2335</v>
      </c>
      <c r="F115" s="18" t="n">
        <f aca="false">E115/$B$2*$F$3/1000</f>
        <v>0.020172075</v>
      </c>
      <c r="G115" s="18" t="n">
        <f aca="false">LOOKUP(RIGHT(D115,5),Ref!$C$4:$C$21,Ref!$E$4:$E$21)*$G$3</f>
        <v>4.5</v>
      </c>
      <c r="H115" s="222" t="n">
        <f aca="false">$E115</f>
        <v>8.2335</v>
      </c>
      <c r="I115" s="185" t="n">
        <f aca="false">$E115</f>
        <v>8.2335</v>
      </c>
      <c r="J115" s="185" t="n">
        <f aca="false">$E115</f>
        <v>8.2335</v>
      </c>
      <c r="K115" s="185" t="n">
        <f aca="false">$E115</f>
        <v>8.2335</v>
      </c>
      <c r="L115" s="185" t="n">
        <f aca="false">$E115</f>
        <v>8.2335</v>
      </c>
      <c r="M115" s="185" t="n">
        <f aca="false">M$3*$E115</f>
        <v>8.62398092680749</v>
      </c>
      <c r="N115" s="185" t="n">
        <f aca="false">N$3*$E115</f>
        <v>8.85807832520491</v>
      </c>
      <c r="O115" s="185" t="n">
        <f aca="false">O$3*$E115</f>
        <v>9.2149572584691</v>
      </c>
      <c r="P115" s="185" t="n">
        <f aca="false">P$3*$E115</f>
        <v>9.73550055025963</v>
      </c>
      <c r="Q115" s="185" t="n">
        <f aca="false">Q$3*$E115</f>
        <v>10.4478291928499</v>
      </c>
      <c r="R115" s="185" t="n">
        <f aca="false">R$3*$E115</f>
        <v>11.3419810965495</v>
      </c>
      <c r="S115" s="185" t="n">
        <f aca="false">S$3*$E115</f>
        <v>12.35025</v>
      </c>
      <c r="T115" s="185" t="n">
        <f aca="false">T$3*$E115</f>
        <v>13.3585189034505</v>
      </c>
      <c r="U115" s="185" t="n">
        <f aca="false">U$3*$E115</f>
        <v>14.2526708071501</v>
      </c>
      <c r="V115" s="185" t="n">
        <f aca="false">V$3*$E115</f>
        <v>14.9649994497404</v>
      </c>
      <c r="W115" s="185" t="n">
        <f aca="false">W$3*$E115</f>
        <v>15.4855427415309</v>
      </c>
      <c r="X115" s="185" t="n">
        <f aca="false">X$3*$E115</f>
        <v>15.8424216747951</v>
      </c>
      <c r="Y115" s="185" t="n">
        <f aca="false">Y$3*$E115</f>
        <v>16.0765190731925</v>
      </c>
      <c r="Z115" s="185" t="n">
        <f aca="false">Z$3*$E115</f>
        <v>16.2256577481087</v>
      </c>
      <c r="AA115" s="185" t="n">
        <f aca="false">AA$3*$E115</f>
        <v>16.3189105402771</v>
      </c>
      <c r="AB115" s="185" t="n">
        <f aca="false">AB$3*$E115</f>
        <v>16.376539007851</v>
      </c>
      <c r="AC115" s="185" t="n">
        <f aca="false">AC$3*$E115</f>
        <v>16.4118944119149</v>
      </c>
      <c r="AD115" s="219" t="n">
        <f aca="false">Algae_electricity_factor/H115</f>
        <v>0.00166922901603562</v>
      </c>
      <c r="AE115" s="220" t="n">
        <f aca="false">Algae_electricity_factor/I115</f>
        <v>0.00166922901603562</v>
      </c>
      <c r="AF115" s="220" t="n">
        <f aca="false">Algae_electricity_factor/J115</f>
        <v>0.00166922901603562</v>
      </c>
      <c r="AG115" s="220" t="n">
        <f aca="false">Algae_electricity_factor/K115</f>
        <v>0.00166922901603562</v>
      </c>
      <c r="AH115" s="220" t="n">
        <f aca="false">Algae_electricity_factor/L115</f>
        <v>0.00166922901603562</v>
      </c>
      <c r="AI115" s="220" t="n">
        <f aca="false">Algae_electricity_factor/M115</f>
        <v>0.00159364882879176</v>
      </c>
      <c r="AJ115" s="220" t="n">
        <f aca="false">Algae_electricity_factor/N115</f>
        <v>0.00155153257839491</v>
      </c>
      <c r="AK115" s="220" t="n">
        <f aca="false">Algae_electricity_factor/O115</f>
        <v>0.00149144447641339</v>
      </c>
      <c r="AL115" s="220" t="n">
        <f aca="false">Algae_electricity_factor/P115</f>
        <v>0.00141169907315785</v>
      </c>
      <c r="AM115" s="220" t="n">
        <f aca="false">Algae_electricity_factor/Q115</f>
        <v>0.00131545001835739</v>
      </c>
      <c r="AN115" s="220" t="n">
        <f aca="false">Algae_electricity_factor/R115</f>
        <v>0.00121174572471386</v>
      </c>
      <c r="AO115" s="220" t="n">
        <f aca="false">Algae_electricity_factor/S115</f>
        <v>0.00111281934402375</v>
      </c>
      <c r="AP115" s="220" t="n">
        <f aca="false">Algae_electricity_factor/T115</f>
        <v>0.00102882641428005</v>
      </c>
      <c r="AQ115" s="220" t="n">
        <f aca="false">Algae_electricity_factor/U115</f>
        <v>0.000964282223976892</v>
      </c>
      <c r="AR115" s="220" t="n">
        <f aca="false">Algae_electricity_factor/V115</f>
        <v>0.000918382733637034</v>
      </c>
      <c r="AS115" s="220" t="n">
        <f aca="false">Algae_electricity_factor/W115</f>
        <v>0.000887511489453328</v>
      </c>
      <c r="AT115" s="220" t="n">
        <f aca="false">Algae_electricity_factor/X115</f>
        <v>0.000867518702989391</v>
      </c>
      <c r="AU115" s="220" t="n">
        <f aca="false">Algae_electricity_factor/Y115</f>
        <v>0.000854886374404682</v>
      </c>
      <c r="AV115" s="220" t="n">
        <f aca="false">Algae_electricity_factor/Z115</f>
        <v>0.000847028657752333</v>
      </c>
      <c r="AW115" s="220" t="n">
        <f aca="false">Algae_electricity_factor/AA115</f>
        <v>0.000842188396682998</v>
      </c>
      <c r="AX115" s="220" t="n">
        <f aca="false">Algae_electricity_factor/AB115</f>
        <v>0.00083922476519248</v>
      </c>
      <c r="AY115" s="220" t="n">
        <f aca="false">Algae_electricity_factor/AC115</f>
        <v>0.000837416861124303</v>
      </c>
      <c r="AZ115" s="211" t="n">
        <f aca="false">Algae_yield_cost_factor/H115</f>
        <v>0.0924081641205099</v>
      </c>
      <c r="BA115" s="18" t="n">
        <f aca="false">Algae_yield_cost_factor/I115</f>
        <v>0.0924081641205099</v>
      </c>
      <c r="BB115" s="18" t="n">
        <f aca="false">Algae_yield_cost_factor/J115</f>
        <v>0.0924081641205099</v>
      </c>
      <c r="BC115" s="18" t="n">
        <f aca="false">Algae_yield_cost_factor/K115</f>
        <v>0.0924081641205099</v>
      </c>
      <c r="BD115" s="18" t="n">
        <f aca="false">Algae_yield_cost_factor/L115</f>
        <v>0.0924081641205099</v>
      </c>
      <c r="BE115" s="18" t="n">
        <f aca="false">Algae_yield_cost_factor/M115</f>
        <v>0.088224060992662</v>
      </c>
      <c r="BF115" s="18" t="n">
        <f aca="false">Algae_yield_cost_factor/N115</f>
        <v>0.0858925143076806</v>
      </c>
      <c r="BG115" s="18" t="n">
        <f aca="false">Algae_yield_cost_factor/O115</f>
        <v>0.0825660497325647</v>
      </c>
      <c r="BH115" s="18" t="n">
        <f aca="false">Algae_yield_cost_factor/P115</f>
        <v>0.0781513611301606</v>
      </c>
      <c r="BI115" s="18" t="n">
        <f aca="false">Algae_yield_cost_factor/Q115</f>
        <v>0.0728230338802737</v>
      </c>
      <c r="BJ115" s="18" t="n">
        <f aca="false">Algae_yield_cost_factor/R115</f>
        <v>0.0670819861900213</v>
      </c>
      <c r="BK115" s="18" t="n">
        <f aca="false">Algae_yield_cost_factor/S115</f>
        <v>0.0616054427470066</v>
      </c>
      <c r="BL115" s="18" t="n">
        <f aca="false">Algae_yield_cost_factor/T115</f>
        <v>0.0569556119795357</v>
      </c>
      <c r="BM115" s="18" t="n">
        <f aca="false">Algae_yield_cost_factor/U115</f>
        <v>0.0533824593005071</v>
      </c>
      <c r="BN115" s="18" t="n">
        <f aca="false">Algae_yield_cost_factor/V115</f>
        <v>0.0508414732550771</v>
      </c>
      <c r="BO115" s="18" t="n">
        <f aca="false">Algae_yield_cost_factor/W115</f>
        <v>0.0491324477278864</v>
      </c>
      <c r="BP115" s="18" t="n">
        <f aca="false">Algae_yield_cost_factor/X115</f>
        <v>0.0480256513116741</v>
      </c>
      <c r="BQ115" s="18" t="n">
        <f aca="false">Algae_yield_cost_factor/Y115</f>
        <v>0.0473263282817807</v>
      </c>
      <c r="BR115" s="18" t="n">
        <f aca="false">Algae_yield_cost_factor/Z115</f>
        <v>0.0468913267552992</v>
      </c>
      <c r="BS115" s="18" t="n">
        <f aca="false">Algae_yield_cost_factor/AA115</f>
        <v>0.046623370929595</v>
      </c>
      <c r="BT115" s="18" t="n">
        <f aca="false">Algae_yield_cost_factor/AB115</f>
        <v>0.0464593049191569</v>
      </c>
      <c r="BU115" s="18" t="n">
        <f aca="false">Algae_yield_cost_factor/AC115</f>
        <v>0.0463592197335764</v>
      </c>
    </row>
    <row r="116" customFormat="false" ht="15" hidden="false" customHeight="false" outlineLevel="0" collapsed="false">
      <c r="A116" s="18" t="s">
        <v>745</v>
      </c>
      <c r="B116" s="18" t="s">
        <v>22</v>
      </c>
      <c r="C116" s="18" t="s">
        <v>686</v>
      </c>
      <c r="D116" s="18" t="s">
        <v>686</v>
      </c>
      <c r="E116" s="185" t="n">
        <v>2</v>
      </c>
      <c r="F116" s="18" t="n">
        <f aca="false">E116/$B$2*$F$3/1000</f>
        <v>0.0049</v>
      </c>
      <c r="G116" s="18" t="n">
        <f aca="false">LOOKUP(RIGHT(D116,5),Ref!$C$4:$C$21,Ref!$E$4:$E$21)*$G$3</f>
        <v>4.5</v>
      </c>
      <c r="H116" s="222" t="n">
        <f aca="false">$E116</f>
        <v>2</v>
      </c>
      <c r="I116" s="185" t="n">
        <f aca="false">$E116</f>
        <v>2</v>
      </c>
      <c r="J116" s="185" t="n">
        <f aca="false">$E116</f>
        <v>2</v>
      </c>
      <c r="K116" s="185" t="n">
        <f aca="false">$E116</f>
        <v>2</v>
      </c>
      <c r="L116" s="185" t="n">
        <f aca="false">$E116</f>
        <v>2</v>
      </c>
      <c r="M116" s="185" t="n">
        <f aca="false">M$3*$E116</f>
        <v>2.09485174635513</v>
      </c>
      <c r="N116" s="185" t="n">
        <f aca="false">N$3*$E116</f>
        <v>2.15171636004249</v>
      </c>
      <c r="O116" s="185" t="n">
        <f aca="false">O$3*$E116</f>
        <v>2.23840584404424</v>
      </c>
      <c r="P116" s="185" t="n">
        <f aca="false">P$3*$E116</f>
        <v>2.36485104761271</v>
      </c>
      <c r="Q116" s="185" t="n">
        <f aca="false">Q$3*$E116</f>
        <v>2.53788284273999</v>
      </c>
      <c r="R116" s="185" t="n">
        <f aca="false">R$3*$E116</f>
        <v>2.75508133759629</v>
      </c>
      <c r="S116" s="185" t="n">
        <f aca="false">S$3*$E116</f>
        <v>3</v>
      </c>
      <c r="T116" s="185" t="n">
        <f aca="false">T$3*$E116</f>
        <v>3.24491866240371</v>
      </c>
      <c r="U116" s="185" t="n">
        <f aca="false">U$3*$E116</f>
        <v>3.46211715726001</v>
      </c>
      <c r="V116" s="185" t="n">
        <f aca="false">V$3*$E116</f>
        <v>3.63514895238729</v>
      </c>
      <c r="W116" s="185" t="n">
        <f aca="false">W$3*$E116</f>
        <v>3.76159415595576</v>
      </c>
      <c r="X116" s="185" t="n">
        <f aca="false">X$3*$E116</f>
        <v>3.84828363995751</v>
      </c>
      <c r="Y116" s="185" t="n">
        <f aca="false">Y$3*$E116</f>
        <v>3.90514825364487</v>
      </c>
      <c r="Z116" s="185" t="n">
        <f aca="false">Z$3*$E116</f>
        <v>3.94137553849729</v>
      </c>
      <c r="AA116" s="185" t="n">
        <f aca="false">AA$3*$E116</f>
        <v>3.96402758007582</v>
      </c>
      <c r="AB116" s="185" t="n">
        <f aca="false">AB$3*$E116</f>
        <v>3.97802611473881</v>
      </c>
      <c r="AC116" s="185" t="n">
        <f aca="false">AC$3*$E116</f>
        <v>3.98661429815143</v>
      </c>
      <c r="AD116" s="219" t="n">
        <f aca="false">Algae_electricity_factor/H116</f>
        <v>0.00687179855176463</v>
      </c>
      <c r="AE116" s="220" t="n">
        <f aca="false">Algae_electricity_factor/I116</f>
        <v>0.00687179855176463</v>
      </c>
      <c r="AF116" s="220" t="n">
        <f aca="false">Algae_electricity_factor/J116</f>
        <v>0.00687179855176463</v>
      </c>
      <c r="AG116" s="220" t="n">
        <f aca="false">Algae_electricity_factor/K116</f>
        <v>0.00687179855176463</v>
      </c>
      <c r="AH116" s="220" t="n">
        <f aca="false">Algae_electricity_factor/L116</f>
        <v>0.00687179855176463</v>
      </c>
      <c r="AI116" s="220" t="n">
        <f aca="false">Algae_electricity_factor/M116</f>
        <v>0.00656065381592849</v>
      </c>
      <c r="AJ116" s="220" t="n">
        <f aca="false">Algae_electricity_factor/N116</f>
        <v>0.00638727174210726</v>
      </c>
      <c r="AK116" s="220" t="n">
        <f aca="false">Algae_electricity_factor/O116</f>
        <v>0.00613990404827484</v>
      </c>
      <c r="AL116" s="220" t="n">
        <f aca="false">Algae_electricity_factor/P116</f>
        <v>0.00581161215942258</v>
      </c>
      <c r="AM116" s="220" t="n">
        <f aca="false">Algae_electricity_factor/Q116</f>
        <v>0.0054153788630728</v>
      </c>
      <c r="AN116" s="220" t="n">
        <f aca="false">Algae_electricity_factor/R116</f>
        <v>0.00498845421221576</v>
      </c>
      <c r="AO116" s="220" t="n">
        <f aca="false">Algae_electricity_factor/S116</f>
        <v>0.00458119903450975</v>
      </c>
      <c r="AP116" s="220" t="n">
        <f aca="false">Algae_electricity_factor/T116</f>
        <v>0.00423542114098741</v>
      </c>
      <c r="AQ116" s="220" t="n">
        <f aca="false">Algae_electricity_factor/U116</f>
        <v>0.00396970884555687</v>
      </c>
      <c r="AR116" s="220" t="n">
        <f aca="false">Algae_electricity_factor/V116</f>
        <v>0.00378075211870026</v>
      </c>
      <c r="AS116" s="220" t="n">
        <f aca="false">Algae_electricity_factor/W116</f>
        <v>0.00365366292420699</v>
      </c>
      <c r="AT116" s="220" t="n">
        <f aca="false">Algae_electricity_factor/X116</f>
        <v>0.00357135762053158</v>
      </c>
      <c r="AU116" s="220" t="n">
        <f aca="false">Algae_electricity_factor/Y116</f>
        <v>0.00351935348183047</v>
      </c>
      <c r="AV116" s="220" t="n">
        <f aca="false">Algae_electricity_factor/Z116</f>
        <v>0.00348700522680192</v>
      </c>
      <c r="AW116" s="220" t="n">
        <f aca="false">Algae_electricity_factor/AA116</f>
        <v>0.00346707908204473</v>
      </c>
      <c r="AX116" s="220" t="n">
        <f aca="false">Algae_electricity_factor/AB116</f>
        <v>0.00345487855210614</v>
      </c>
      <c r="AY116" s="220" t="n">
        <f aca="false">Algae_electricity_factor/AC116</f>
        <v>0.00344743586303347</v>
      </c>
      <c r="AZ116" s="211" t="n">
        <f aca="false">Algae_yield_cost_factor/H116</f>
        <v>0.380421309643109</v>
      </c>
      <c r="BA116" s="18" t="n">
        <f aca="false">Algae_yield_cost_factor/I116</f>
        <v>0.380421309643109</v>
      </c>
      <c r="BB116" s="18" t="n">
        <f aca="false">Algae_yield_cost_factor/J116</f>
        <v>0.380421309643109</v>
      </c>
      <c r="BC116" s="18" t="n">
        <f aca="false">Algae_yield_cost_factor/K116</f>
        <v>0.380421309643109</v>
      </c>
      <c r="BD116" s="18" t="n">
        <f aca="false">Algae_yield_cost_factor/L116</f>
        <v>0.380421309643109</v>
      </c>
      <c r="BE116" s="18" t="n">
        <f aca="false">Algae_yield_cost_factor/M116</f>
        <v>0.363196403091541</v>
      </c>
      <c r="BF116" s="18" t="n">
        <f aca="false">Algae_yield_cost_factor/N116</f>
        <v>0.353598008276144</v>
      </c>
      <c r="BG116" s="18" t="n">
        <f aca="false">Algae_yield_cost_factor/O116</f>
        <v>0.339903785236535</v>
      </c>
      <c r="BH116" s="18" t="n">
        <f aca="false">Algae_yield_cost_factor/P116</f>
        <v>0.321729615932589</v>
      </c>
      <c r="BI116" s="18" t="n">
        <f aca="false">Algae_yield_cost_factor/Q116</f>
        <v>0.299794224726617</v>
      </c>
      <c r="BJ116" s="18" t="n">
        <f aca="false">Algae_yield_cost_factor/R116</f>
        <v>0.27615976664777</v>
      </c>
      <c r="BK116" s="18" t="n">
        <f aca="false">Algae_yield_cost_factor/S116</f>
        <v>0.253614206428739</v>
      </c>
      <c r="BL116" s="18" t="n">
        <f aca="false">Algae_yield_cost_factor/T116</f>
        <v>0.234472015616754</v>
      </c>
      <c r="BM116" s="18" t="n">
        <f aca="false">Algae_yield_cost_factor/U116</f>
        <v>0.219762239325362</v>
      </c>
      <c r="BN116" s="18" t="n">
        <f aca="false">Algae_yield_cost_factor/V116</f>
        <v>0.209301635022838</v>
      </c>
      <c r="BO116" s="18" t="n">
        <f aca="false">Algae_yield_cost_factor/W116</f>
        <v>0.202266004183776</v>
      </c>
      <c r="BP116" s="18" t="n">
        <f aca="false">Algae_yield_cost_factor/X116</f>
        <v>0.197709600037335</v>
      </c>
      <c r="BQ116" s="18" t="n">
        <f aca="false">Algae_yield_cost_factor/Y116</f>
        <v>0.194830661954021</v>
      </c>
      <c r="BR116" s="18" t="n">
        <f aca="false">Algae_yield_cost_factor/Z116</f>
        <v>0.193039869419878</v>
      </c>
      <c r="BS116" s="18" t="n">
        <f aca="false">Algae_yield_cost_factor/AA116</f>
        <v>0.19193676227441</v>
      </c>
      <c r="BT116" s="18" t="n">
        <f aca="false">Algae_yield_cost_factor/AB116</f>
        <v>0.191261343525939</v>
      </c>
      <c r="BU116" s="18" t="n">
        <f aca="false">Algae_yield_cost_factor/AC116</f>
        <v>0.190849317838201</v>
      </c>
    </row>
    <row r="117" customFormat="false" ht="15" hidden="false" customHeight="false" outlineLevel="0" collapsed="false">
      <c r="A117" s="18" t="s">
        <v>708</v>
      </c>
      <c r="B117" s="18" t="s">
        <v>22</v>
      </c>
      <c r="C117" s="18" t="s">
        <v>690</v>
      </c>
      <c r="D117" s="18" t="s">
        <v>690</v>
      </c>
      <c r="E117" s="185" t="n">
        <v>7.64775</v>
      </c>
      <c r="F117" s="18" t="n">
        <f aca="false">E117/$B$2*$F$3/1000</f>
        <v>0.0187369875</v>
      </c>
      <c r="G117" s="18" t="n">
        <f aca="false">LOOKUP(RIGHT(D117,5),Ref!$C$4:$C$21,Ref!$E$4:$E$21)*$G$3</f>
        <v>1.5</v>
      </c>
      <c r="H117" s="222" t="n">
        <f aca="false">$E117</f>
        <v>7.64775</v>
      </c>
      <c r="I117" s="185" t="n">
        <f aca="false">$E117</f>
        <v>7.64775</v>
      </c>
      <c r="J117" s="185" t="n">
        <f aca="false">$E117</f>
        <v>7.64775</v>
      </c>
      <c r="K117" s="185" t="n">
        <f aca="false">$E117</f>
        <v>7.64775</v>
      </c>
      <c r="L117" s="185" t="n">
        <f aca="false">$E117</f>
        <v>7.64775</v>
      </c>
      <c r="M117" s="185" t="n">
        <f aca="false">M$3*$E117</f>
        <v>8.01045122159374</v>
      </c>
      <c r="N117" s="185" t="n">
        <f aca="false">N$3*$E117</f>
        <v>8.22789439625747</v>
      </c>
      <c r="O117" s="185" t="n">
        <f aca="false">O$3*$E117</f>
        <v>8.55938414689465</v>
      </c>
      <c r="P117" s="185" t="n">
        <f aca="false">P$3*$E117</f>
        <v>9.04289479969006</v>
      </c>
      <c r="Q117" s="185" t="n">
        <f aca="false">Q$3*$E117</f>
        <v>9.70454675528238</v>
      </c>
      <c r="R117" s="185" t="n">
        <f aca="false">R$3*$E117</f>
        <v>10.535086649801</v>
      </c>
      <c r="S117" s="185" t="n">
        <f aca="false">S$3*$E117</f>
        <v>11.471625</v>
      </c>
      <c r="T117" s="185" t="n">
        <f aca="false">T$3*$E117</f>
        <v>12.408163350199</v>
      </c>
      <c r="U117" s="185" t="n">
        <f aca="false">U$3*$E117</f>
        <v>13.2387032447176</v>
      </c>
      <c r="V117" s="185" t="n">
        <f aca="false">V$3*$E117</f>
        <v>13.9003552003099</v>
      </c>
      <c r="W117" s="185" t="n">
        <f aca="false">W$3*$E117</f>
        <v>14.3838658531053</v>
      </c>
      <c r="X117" s="185" t="n">
        <f aca="false">X$3*$E117</f>
        <v>14.7153556037425</v>
      </c>
      <c r="Y117" s="185" t="n">
        <f aca="false">Y$3*$E117</f>
        <v>14.9327987784063</v>
      </c>
      <c r="Z117" s="185" t="n">
        <f aca="false">Z$3*$E117</f>
        <v>15.0713273872713</v>
      </c>
      <c r="AA117" s="185" t="n">
        <f aca="false">AA$3*$E117</f>
        <v>15.1579459627624</v>
      </c>
      <c r="AB117" s="185" t="n">
        <f aca="false">AB$3*$E117</f>
        <v>15.2114746094969</v>
      </c>
      <c r="AC117" s="185" t="n">
        <f aca="false">AC$3*$E117</f>
        <v>15.2443147493438</v>
      </c>
      <c r="AD117" s="219" t="n">
        <f aca="false">Algae_electricity_factor/H117</f>
        <v>0.00179707719309983</v>
      </c>
      <c r="AE117" s="220" t="n">
        <f aca="false">Algae_electricity_factor/I117</f>
        <v>0.00179707719309983</v>
      </c>
      <c r="AF117" s="220" t="n">
        <f aca="false">Algae_electricity_factor/J117</f>
        <v>0.00179707719309983</v>
      </c>
      <c r="AG117" s="220" t="n">
        <f aca="false">Algae_electricity_factor/K117</f>
        <v>0.00179707719309983</v>
      </c>
      <c r="AH117" s="220" t="n">
        <f aca="false">Algae_electricity_factor/L117</f>
        <v>0.00179707719309983</v>
      </c>
      <c r="AI117" s="220" t="n">
        <f aca="false">Algae_electricity_factor/M117</f>
        <v>0.0017157082320757</v>
      </c>
      <c r="AJ117" s="220" t="n">
        <f aca="false">Algae_electricity_factor/N117</f>
        <v>0.00167036624944781</v>
      </c>
      <c r="AK117" s="220" t="n">
        <f aca="false">Algae_electricity_factor/O117</f>
        <v>0.00160567593037817</v>
      </c>
      <c r="AL117" s="220" t="n">
        <f aca="false">Algae_electricity_factor/P117</f>
        <v>0.00151982273464027</v>
      </c>
      <c r="AM117" s="220" t="n">
        <f aca="false">Algae_electricity_factor/Q117</f>
        <v>0.00141620185363612</v>
      </c>
      <c r="AN117" s="220" t="n">
        <f aca="false">Algae_electricity_factor/R117</f>
        <v>0.00130455472844059</v>
      </c>
      <c r="AO117" s="220" t="n">
        <f aca="false">Algae_electricity_factor/S117</f>
        <v>0.00119805146206656</v>
      </c>
      <c r="AP117" s="220" t="n">
        <f aca="false">Algae_electricity_factor/T117</f>
        <v>0.00110762541688403</v>
      </c>
      <c r="AQ117" s="220" t="n">
        <f aca="false">Algae_electricity_factor/U117</f>
        <v>0.0010381377125447</v>
      </c>
      <c r="AR117" s="220" t="n">
        <f aca="false">Algae_electricity_factor/V117</f>
        <v>0.000988722727259719</v>
      </c>
      <c r="AS117" s="220" t="n">
        <f aca="false">Algae_electricity_factor/W117</f>
        <v>0.000955487018850509</v>
      </c>
      <c r="AT117" s="220" t="n">
        <f aca="false">Algae_electricity_factor/X117</f>
        <v>0.000933962961794404</v>
      </c>
      <c r="AU117" s="220" t="n">
        <f aca="false">Algae_electricity_factor/Y117</f>
        <v>0.000920363108582387</v>
      </c>
      <c r="AV117" s="220" t="n">
        <f aca="false">Algae_electricity_factor/Z117</f>
        <v>0.000911903560341778</v>
      </c>
      <c r="AW117" s="220" t="n">
        <f aca="false">Algae_electricity_factor/AA117</f>
        <v>0.000906692578090218</v>
      </c>
      <c r="AX117" s="220" t="n">
        <f aca="false">Algae_electricity_factor/AB117</f>
        <v>0.000903501958643037</v>
      </c>
      <c r="AY117" s="220" t="n">
        <f aca="false">Algae_electricity_factor/AC117</f>
        <v>0.000901555585115484</v>
      </c>
      <c r="AZ117" s="211" t="n">
        <f aca="false">Algae_yield_cost_factor/H117</f>
        <v>0.0994858120736449</v>
      </c>
      <c r="BA117" s="18" t="n">
        <f aca="false">Algae_yield_cost_factor/I117</f>
        <v>0.0994858120736449</v>
      </c>
      <c r="BB117" s="18" t="n">
        <f aca="false">Algae_yield_cost_factor/J117</f>
        <v>0.0994858120736449</v>
      </c>
      <c r="BC117" s="18" t="n">
        <f aca="false">Algae_yield_cost_factor/K117</f>
        <v>0.0994858120736449</v>
      </c>
      <c r="BD117" s="18" t="n">
        <f aca="false">Algae_yield_cost_factor/L117</f>
        <v>0.0994858120736449</v>
      </c>
      <c r="BE117" s="18" t="n">
        <f aca="false">Algae_yield_cost_factor/M117</f>
        <v>0.0949812436576878</v>
      </c>
      <c r="BF117" s="18" t="n">
        <f aca="false">Algae_yield_cost_factor/N117</f>
        <v>0.0924711211208902</v>
      </c>
      <c r="BG117" s="18" t="n">
        <f aca="false">Algae_yield_cost_factor/O117</f>
        <v>0.0888898787843576</v>
      </c>
      <c r="BH117" s="18" t="n">
        <f aca="false">Algae_yield_cost_factor/P117</f>
        <v>0.0841370640861923</v>
      </c>
      <c r="BI117" s="18" t="n">
        <f aca="false">Algae_yield_cost_factor/Q117</f>
        <v>0.0784006341019559</v>
      </c>
      <c r="BJ117" s="18" t="n">
        <f aca="false">Algae_yield_cost_factor/R117</f>
        <v>0.0722198729424393</v>
      </c>
      <c r="BK117" s="18" t="n">
        <f aca="false">Algae_yield_cost_factor/S117</f>
        <v>0.0663238747157633</v>
      </c>
      <c r="BL117" s="18" t="n">
        <f aca="false">Algae_yield_cost_factor/T117</f>
        <v>0.0613179080426932</v>
      </c>
      <c r="BM117" s="18" t="n">
        <f aca="false">Algae_yield_cost_factor/U117</f>
        <v>0.0574710834756268</v>
      </c>
      <c r="BN117" s="18" t="n">
        <f aca="false">Algae_yield_cost_factor/V117</f>
        <v>0.0547354803760161</v>
      </c>
      <c r="BO117" s="18" t="n">
        <f aca="false">Algae_yield_cost_factor/W117</f>
        <v>0.0528955586110363</v>
      </c>
      <c r="BP117" s="18" t="n">
        <f aca="false">Algae_yield_cost_factor/X117</f>
        <v>0.0517039913797743</v>
      </c>
      <c r="BQ117" s="18" t="n">
        <f aca="false">Algae_yield_cost_factor/Y117</f>
        <v>0.05095110639182</v>
      </c>
      <c r="BR117" s="18" t="n">
        <f aca="false">Algae_yield_cost_factor/Z117</f>
        <v>0.05048278759632</v>
      </c>
      <c r="BS117" s="18" t="n">
        <f aca="false">Algae_yield_cost_factor/AA117</f>
        <v>0.0501943087246341</v>
      </c>
      <c r="BT117" s="18" t="n">
        <f aca="false">Algae_yield_cost_factor/AB117</f>
        <v>0.0500176767090816</v>
      </c>
      <c r="BU117" s="18" t="n">
        <f aca="false">Algae_yield_cost_factor/AC117</f>
        <v>0.049909925883613</v>
      </c>
    </row>
    <row r="118" customFormat="false" ht="15" hidden="false" customHeight="false" outlineLevel="0" collapsed="false">
      <c r="A118" s="18" t="s">
        <v>708</v>
      </c>
      <c r="B118" s="18" t="s">
        <v>22</v>
      </c>
      <c r="C118" s="18" t="s">
        <v>691</v>
      </c>
      <c r="D118" s="18" t="s">
        <v>691</v>
      </c>
      <c r="E118" s="185" t="n">
        <v>8.24175</v>
      </c>
      <c r="F118" s="18" t="n">
        <f aca="false">E118/$B$2*$F$3/1000</f>
        <v>0.0201922875</v>
      </c>
      <c r="G118" s="18" t="n">
        <f aca="false">LOOKUP(RIGHT(D118,5),Ref!$C$4:$C$21,Ref!$E$4:$E$21)*$G$3</f>
        <v>2</v>
      </c>
      <c r="H118" s="222" t="n">
        <f aca="false">$E118</f>
        <v>8.24175</v>
      </c>
      <c r="I118" s="185" t="n">
        <f aca="false">$E118</f>
        <v>8.24175</v>
      </c>
      <c r="J118" s="185" t="n">
        <f aca="false">$E118</f>
        <v>8.24175</v>
      </c>
      <c r="K118" s="185" t="n">
        <f aca="false">$E118</f>
        <v>8.24175</v>
      </c>
      <c r="L118" s="185" t="n">
        <f aca="false">$E118</f>
        <v>8.24175</v>
      </c>
      <c r="M118" s="185" t="n">
        <f aca="false">M$3*$E118</f>
        <v>8.63262219026121</v>
      </c>
      <c r="N118" s="185" t="n">
        <f aca="false">N$3*$E118</f>
        <v>8.86695415519008</v>
      </c>
      <c r="O118" s="185" t="n">
        <f aca="false">O$3*$E118</f>
        <v>9.22419068257579</v>
      </c>
      <c r="P118" s="185" t="n">
        <f aca="false">P$3*$E118</f>
        <v>9.74525556083104</v>
      </c>
      <c r="Q118" s="185" t="n">
        <f aca="false">Q$3*$E118</f>
        <v>10.4582979595762</v>
      </c>
      <c r="R118" s="185" t="n">
        <f aca="false">R$3*$E118</f>
        <v>11.3533458070671</v>
      </c>
      <c r="S118" s="185" t="n">
        <f aca="false">S$3*$E118</f>
        <v>12.362625</v>
      </c>
      <c r="T118" s="185" t="n">
        <f aca="false">T$3*$E118</f>
        <v>13.3719041929329</v>
      </c>
      <c r="U118" s="185" t="n">
        <f aca="false">U$3*$E118</f>
        <v>14.2669520404238</v>
      </c>
      <c r="V118" s="185" t="n">
        <f aca="false">V$3*$E118</f>
        <v>14.979994439169</v>
      </c>
      <c r="W118" s="185" t="n">
        <f aca="false">W$3*$E118</f>
        <v>15.5010593174242</v>
      </c>
      <c r="X118" s="185" t="n">
        <f aca="false">X$3*$E118</f>
        <v>15.8582958448099</v>
      </c>
      <c r="Y118" s="185" t="n">
        <f aca="false">Y$3*$E118</f>
        <v>16.0926278097388</v>
      </c>
      <c r="Z118" s="185" t="n">
        <f aca="false">Z$3*$E118</f>
        <v>16.241915922205</v>
      </c>
      <c r="AA118" s="185" t="n">
        <f aca="false">AA$3*$E118</f>
        <v>16.3352621540449</v>
      </c>
      <c r="AB118" s="185" t="n">
        <f aca="false">AB$3*$E118</f>
        <v>16.3929483655743</v>
      </c>
      <c r="AC118" s="185" t="n">
        <f aca="false">AC$3*$E118</f>
        <v>16.4283391958948</v>
      </c>
      <c r="AD118" s="219" t="n">
        <f aca="false">Algae_electricity_factor/H118</f>
        <v>0.00166755811611967</v>
      </c>
      <c r="AE118" s="220" t="n">
        <f aca="false">Algae_electricity_factor/I118</f>
        <v>0.00166755811611967</v>
      </c>
      <c r="AF118" s="220" t="n">
        <f aca="false">Algae_electricity_factor/J118</f>
        <v>0.00166755811611967</v>
      </c>
      <c r="AG118" s="220" t="n">
        <f aca="false">Algae_electricity_factor/K118</f>
        <v>0.00166755811611967</v>
      </c>
      <c r="AH118" s="220" t="n">
        <f aca="false">Algae_electricity_factor/L118</f>
        <v>0.00166755811611967</v>
      </c>
      <c r="AI118" s="220" t="n">
        <f aca="false">Algae_electricity_factor/M118</f>
        <v>0.0015920535847189</v>
      </c>
      <c r="AJ118" s="220" t="n">
        <f aca="false">Algae_electricity_factor/N118</f>
        <v>0.00154997949273085</v>
      </c>
      <c r="AK118" s="220" t="n">
        <f aca="false">Algae_electricity_factor/O118</f>
        <v>0.00148995153899957</v>
      </c>
      <c r="AL118" s="220" t="n">
        <f aca="false">Algae_electricity_factor/P118</f>
        <v>0.00141028596097251</v>
      </c>
      <c r="AM118" s="220" t="n">
        <f aca="false">Algae_electricity_factor/Q118</f>
        <v>0.00131413325157225</v>
      </c>
      <c r="AN118" s="220" t="n">
        <f aca="false">Algae_electricity_factor/R118</f>
        <v>0.00121053276603046</v>
      </c>
      <c r="AO118" s="220" t="n">
        <f aca="false">Algae_electricity_factor/S118</f>
        <v>0.00111170541074644</v>
      </c>
      <c r="AP118" s="220" t="n">
        <f aca="false">Algae_electricity_factor/T118</f>
        <v>0.0010277965580095</v>
      </c>
      <c r="AQ118" s="220" t="n">
        <f aca="false">Algae_electricity_factor/U118</f>
        <v>0.000963316976505443</v>
      </c>
      <c r="AR118" s="220" t="n">
        <f aca="false">Algae_electricity_factor/V118</f>
        <v>0.000917463431601361</v>
      </c>
      <c r="AS118" s="220" t="n">
        <f aca="false">Algae_electricity_factor/W118</f>
        <v>0.000886623089563986</v>
      </c>
      <c r="AT118" s="220" t="n">
        <f aca="false">Algae_electricity_factor/X118</f>
        <v>0.000866650315899312</v>
      </c>
      <c r="AU118" s="220" t="n">
        <f aca="false">Algae_electricity_factor/Y118</f>
        <v>0.000854030632288161</v>
      </c>
      <c r="AV118" s="220" t="n">
        <f aca="false">Algae_electricity_factor/Z118</f>
        <v>0.000846180781218046</v>
      </c>
      <c r="AW118" s="220" t="n">
        <f aca="false">Algae_electricity_factor/AA118</f>
        <v>0.000841345365254887</v>
      </c>
      <c r="AX118" s="220" t="n">
        <f aca="false">Algae_electricity_factor/AB118</f>
        <v>0.000838384700362458</v>
      </c>
      <c r="AY118" s="220" t="n">
        <f aca="false">Algae_electricity_factor/AC118</f>
        <v>0.000836578606008062</v>
      </c>
      <c r="AZ118" s="211" t="n">
        <f aca="false">Algae_yield_cost_factor/H118</f>
        <v>0.0923156634557246</v>
      </c>
      <c r="BA118" s="18" t="n">
        <f aca="false">Algae_yield_cost_factor/I118</f>
        <v>0.0923156634557246</v>
      </c>
      <c r="BB118" s="18" t="n">
        <f aca="false">Algae_yield_cost_factor/J118</f>
        <v>0.0923156634557246</v>
      </c>
      <c r="BC118" s="18" t="n">
        <f aca="false">Algae_yield_cost_factor/K118</f>
        <v>0.0923156634557246</v>
      </c>
      <c r="BD118" s="18" t="n">
        <f aca="false">Algae_yield_cost_factor/L118</f>
        <v>0.0923156634557246</v>
      </c>
      <c r="BE118" s="18" t="n">
        <f aca="false">Algae_yield_cost_factor/M118</f>
        <v>0.0881357486192959</v>
      </c>
      <c r="BF118" s="18" t="n">
        <f aca="false">Algae_yield_cost_factor/N118</f>
        <v>0.0858065358148801</v>
      </c>
      <c r="BG118" s="18" t="n">
        <f aca="false">Algae_yield_cost_factor/O118</f>
        <v>0.0824834010341337</v>
      </c>
      <c r="BH118" s="18" t="n">
        <f aca="false">Algae_yield_cost_factor/P118</f>
        <v>0.0780731315394397</v>
      </c>
      <c r="BI118" s="18" t="n">
        <f aca="false">Algae_yield_cost_factor/Q118</f>
        <v>0.0727501379504636</v>
      </c>
      <c r="BJ118" s="18" t="n">
        <f aca="false">Algae_yield_cost_factor/R118</f>
        <v>0.0670148370546959</v>
      </c>
      <c r="BK118" s="18" t="n">
        <f aca="false">Algae_yield_cost_factor/S118</f>
        <v>0.0615437756371497</v>
      </c>
      <c r="BL118" s="18" t="n">
        <f aca="false">Algae_yield_cost_factor/T118</f>
        <v>0.0568985993549316</v>
      </c>
      <c r="BM118" s="18" t="n">
        <f aca="false">Algae_yield_cost_factor/U118</f>
        <v>0.0533290234053114</v>
      </c>
      <c r="BN118" s="18" t="n">
        <f aca="false">Algae_yield_cost_factor/V118</f>
        <v>0.0507905808894564</v>
      </c>
      <c r="BO118" s="18" t="n">
        <f aca="false">Algae_yield_cost_factor/W118</f>
        <v>0.0490832660985292</v>
      </c>
      <c r="BP118" s="18" t="n">
        <f aca="false">Algae_yield_cost_factor/X118</f>
        <v>0.0479775775866374</v>
      </c>
      <c r="BQ118" s="18" t="n">
        <f aca="false">Algae_yield_cost_factor/Y118</f>
        <v>0.047278954579797</v>
      </c>
      <c r="BR118" s="18" t="n">
        <f aca="false">Algae_yield_cost_factor/Z118</f>
        <v>0.0468443884902789</v>
      </c>
      <c r="BS118" s="18" t="n">
        <f aca="false">Algae_yield_cost_factor/AA118</f>
        <v>0.0465767008886244</v>
      </c>
      <c r="BT118" s="18" t="n">
        <f aca="false">Algae_yield_cost_factor/AB118</f>
        <v>0.046412799108427</v>
      </c>
      <c r="BU118" s="18" t="n">
        <f aca="false">Algae_yield_cost_factor/AC118</f>
        <v>0.0463128141082175</v>
      </c>
    </row>
    <row r="119" customFormat="false" ht="15" hidden="false" customHeight="false" outlineLevel="0" collapsed="false">
      <c r="A119" s="18" t="s">
        <v>708</v>
      </c>
      <c r="B119" s="18" t="s">
        <v>22</v>
      </c>
      <c r="C119" s="18" t="s">
        <v>692</v>
      </c>
      <c r="D119" s="18" t="s">
        <v>692</v>
      </c>
      <c r="E119" s="185" t="n">
        <v>7.6065</v>
      </c>
      <c r="F119" s="18" t="n">
        <f aca="false">E119/$B$2*$F$3/1000</f>
        <v>0.018635925</v>
      </c>
      <c r="G119" s="18" t="n">
        <f aca="false">LOOKUP(RIGHT(D119,5),Ref!$C$4:$C$21,Ref!$E$4:$E$21)*$G$3</f>
        <v>2.5</v>
      </c>
      <c r="H119" s="222" t="n">
        <f aca="false">$E119</f>
        <v>7.6065</v>
      </c>
      <c r="I119" s="185" t="n">
        <f aca="false">$E119</f>
        <v>7.6065</v>
      </c>
      <c r="J119" s="185" t="n">
        <f aca="false">$E119</f>
        <v>7.6065</v>
      </c>
      <c r="K119" s="185" t="n">
        <f aca="false">$E119</f>
        <v>7.6065</v>
      </c>
      <c r="L119" s="185" t="n">
        <f aca="false">$E119</f>
        <v>7.6065</v>
      </c>
      <c r="M119" s="185" t="n">
        <f aca="false">M$3*$E119</f>
        <v>7.96724490432516</v>
      </c>
      <c r="N119" s="185" t="n">
        <f aca="false">N$3*$E119</f>
        <v>8.18351524633159</v>
      </c>
      <c r="O119" s="185" t="n">
        <f aca="false">O$3*$E119</f>
        <v>8.51321702636124</v>
      </c>
      <c r="P119" s="185" t="n">
        <f aca="false">P$3*$E119</f>
        <v>8.99411974683305</v>
      </c>
      <c r="Q119" s="185" t="n">
        <f aca="false">Q$3*$E119</f>
        <v>9.65220292165087</v>
      </c>
      <c r="R119" s="185" t="n">
        <f aca="false">R$3*$E119</f>
        <v>10.4782630972131</v>
      </c>
      <c r="S119" s="185" t="n">
        <f aca="false">S$3*$E119</f>
        <v>11.40975</v>
      </c>
      <c r="T119" s="185" t="n">
        <f aca="false">T$3*$E119</f>
        <v>12.3412369027869</v>
      </c>
      <c r="U119" s="185" t="n">
        <f aca="false">U$3*$E119</f>
        <v>13.1672970783491</v>
      </c>
      <c r="V119" s="185" t="n">
        <f aca="false">V$3*$E119</f>
        <v>13.825380253167</v>
      </c>
      <c r="W119" s="185" t="n">
        <f aca="false">W$3*$E119</f>
        <v>14.3062829736388</v>
      </c>
      <c r="X119" s="185" t="n">
        <f aca="false">X$3*$E119</f>
        <v>14.6359847536684</v>
      </c>
      <c r="Y119" s="185" t="n">
        <f aca="false">Y$3*$E119</f>
        <v>14.8522550956748</v>
      </c>
      <c r="Z119" s="185" t="n">
        <f aca="false">Z$3*$E119</f>
        <v>14.9900365167898</v>
      </c>
      <c r="AA119" s="185" t="n">
        <f aca="false">AA$3*$E119</f>
        <v>15.0761878939234</v>
      </c>
      <c r="AB119" s="185" t="n">
        <f aca="false">AB$3*$E119</f>
        <v>15.1294278208804</v>
      </c>
      <c r="AC119" s="185" t="n">
        <f aca="false">AC$3*$E119</f>
        <v>15.1620908294444</v>
      </c>
      <c r="AD119" s="219" t="n">
        <f aca="false">Algae_electricity_factor/H119</f>
        <v>0.00180682273102337</v>
      </c>
      <c r="AE119" s="220" t="n">
        <f aca="false">Algae_electricity_factor/I119</f>
        <v>0.00180682273102337</v>
      </c>
      <c r="AF119" s="220" t="n">
        <f aca="false">Algae_electricity_factor/J119</f>
        <v>0.00180682273102337</v>
      </c>
      <c r="AG119" s="220" t="n">
        <f aca="false">Algae_electricity_factor/K119</f>
        <v>0.00180682273102337</v>
      </c>
      <c r="AH119" s="220" t="n">
        <f aca="false">Algae_electricity_factor/L119</f>
        <v>0.00180682273102337</v>
      </c>
      <c r="AI119" s="220" t="n">
        <f aca="false">Algae_electricity_factor/M119</f>
        <v>0.00172501250665312</v>
      </c>
      <c r="AJ119" s="220" t="n">
        <f aca="false">Algae_electricity_factor/N119</f>
        <v>0.00167942463474851</v>
      </c>
      <c r="AK119" s="220" t="n">
        <f aca="false">Algae_electricity_factor/O119</f>
        <v>0.00161438350049953</v>
      </c>
      <c r="AL119" s="220" t="n">
        <f aca="false">Algae_electricity_factor/P119</f>
        <v>0.00152806472343984</v>
      </c>
      <c r="AM119" s="220" t="n">
        <f aca="false">Algae_electricity_factor/Q119</f>
        <v>0.00142388190707232</v>
      </c>
      <c r="AN119" s="220" t="n">
        <f aca="false">Algae_electricity_factor/R119</f>
        <v>0.00131162932024341</v>
      </c>
      <c r="AO119" s="220" t="n">
        <f aca="false">Algae_electricity_factor/S119</f>
        <v>0.00120454848734891</v>
      </c>
      <c r="AP119" s="220" t="n">
        <f aca="false">Algae_electricity_factor/T119</f>
        <v>0.00111363206231182</v>
      </c>
      <c r="AQ119" s="220" t="n">
        <f aca="false">Algae_electricity_factor/U119</f>
        <v>0.00104376752660405</v>
      </c>
      <c r="AR119" s="220" t="n">
        <f aca="false">Algae_electricity_factor/V119</f>
        <v>0.000994084564175444</v>
      </c>
      <c r="AS119" s="220" t="n">
        <f aca="false">Algae_electricity_factor/W119</f>
        <v>0.000960668618735815</v>
      </c>
      <c r="AT119" s="220" t="n">
        <f aca="false">Algae_electricity_factor/X119</f>
        <v>0.000939027836858365</v>
      </c>
      <c r="AU119" s="220" t="n">
        <f aca="false">Algae_electricity_factor/Y119</f>
        <v>0.000925354231730881</v>
      </c>
      <c r="AV119" s="220" t="n">
        <f aca="false">Algae_electricity_factor/Z119</f>
        <v>0.000916848807415215</v>
      </c>
      <c r="AW119" s="220" t="n">
        <f aca="false">Algae_electricity_factor/AA119</f>
        <v>0.000911609566040815</v>
      </c>
      <c r="AX119" s="220" t="n">
        <f aca="false">Algae_electricity_factor/AB119</f>
        <v>0.000908401643885136</v>
      </c>
      <c r="AY119" s="220" t="n">
        <f aca="false">Algae_electricity_factor/AC119</f>
        <v>0.000906444715186609</v>
      </c>
      <c r="AZ119" s="211" t="n">
        <f aca="false">Algae_yield_cost_factor/H119</f>
        <v>0.100025322985107</v>
      </c>
      <c r="BA119" s="18" t="n">
        <f aca="false">Algae_yield_cost_factor/I119</f>
        <v>0.100025322985107</v>
      </c>
      <c r="BB119" s="18" t="n">
        <f aca="false">Algae_yield_cost_factor/J119</f>
        <v>0.100025322985107</v>
      </c>
      <c r="BC119" s="18" t="n">
        <f aca="false">Algae_yield_cost_factor/K119</f>
        <v>0.100025322985107</v>
      </c>
      <c r="BD119" s="18" t="n">
        <f aca="false">Algae_yield_cost_factor/L119</f>
        <v>0.100025322985107</v>
      </c>
      <c r="BE119" s="18" t="n">
        <f aca="false">Algae_yield_cost_factor/M119</f>
        <v>0.0954963263239443</v>
      </c>
      <c r="BF119" s="18" t="n">
        <f aca="false">Algae_yield_cost_factor/N119</f>
        <v>0.0929725914089644</v>
      </c>
      <c r="BG119" s="18" t="n">
        <f aca="false">Algae_yield_cost_factor/O119</f>
        <v>0.0893719280185461</v>
      </c>
      <c r="BH119" s="18" t="n">
        <f aca="false">Algae_yield_cost_factor/P119</f>
        <v>0.084593338837202</v>
      </c>
      <c r="BI119" s="18" t="n">
        <f aca="false">Algae_yield_cost_factor/Q119</f>
        <v>0.0788258002304915</v>
      </c>
      <c r="BJ119" s="18" t="n">
        <f aca="false">Algae_yield_cost_factor/R119</f>
        <v>0.0726115208434286</v>
      </c>
      <c r="BK119" s="18" t="n">
        <f aca="false">Algae_yield_cost_factor/S119</f>
        <v>0.0666835486567381</v>
      </c>
      <c r="BL119" s="18" t="n">
        <f aca="false">Algae_yield_cost_factor/T119</f>
        <v>0.0616504346589768</v>
      </c>
      <c r="BM119" s="18" t="n">
        <f aca="false">Algae_yield_cost_factor/U119</f>
        <v>0.0577827487873167</v>
      </c>
      <c r="BN119" s="18" t="n">
        <f aca="false">Algae_yield_cost_factor/V119</f>
        <v>0.055032310529899</v>
      </c>
      <c r="BO119" s="18" t="n">
        <f aca="false">Algae_yield_cost_factor/W119</f>
        <v>0.0531824108811612</v>
      </c>
      <c r="BP119" s="18" t="n">
        <f aca="false">Algae_yield_cost_factor/X119</f>
        <v>0.0519843817885583</v>
      </c>
      <c r="BQ119" s="18" t="n">
        <f aca="false">Algae_yield_cost_factor/Y119</f>
        <v>0.0512274139102138</v>
      </c>
      <c r="BR119" s="18" t="n">
        <f aca="false">Algae_yield_cost_factor/Z119</f>
        <v>0.0507565554249334</v>
      </c>
      <c r="BS119" s="18" t="n">
        <f aca="false">Algae_yield_cost_factor/AA119</f>
        <v>0.0504665121342037</v>
      </c>
      <c r="BT119" s="18" t="n">
        <f aca="false">Algae_yield_cost_factor/AB119</f>
        <v>0.0502889222443803</v>
      </c>
      <c r="BU119" s="18" t="n">
        <f aca="false">Algae_yield_cost_factor/AC119</f>
        <v>0.0501805870868864</v>
      </c>
    </row>
    <row r="120" customFormat="false" ht="15" hidden="false" customHeight="false" outlineLevel="0" collapsed="false">
      <c r="A120" s="18" t="s">
        <v>708</v>
      </c>
      <c r="B120" s="18" t="s">
        <v>22</v>
      </c>
      <c r="C120" s="18" t="s">
        <v>693</v>
      </c>
      <c r="D120" s="18" t="s">
        <v>693</v>
      </c>
      <c r="E120" s="185" t="n">
        <v>8.20875</v>
      </c>
      <c r="F120" s="18" t="n">
        <f aca="false">E120/$B$2*$F$3/1000</f>
        <v>0.0201114375</v>
      </c>
      <c r="G120" s="18" t="n">
        <f aca="false">LOOKUP(RIGHT(D120,5),Ref!$C$4:$C$21,Ref!$E$4:$E$21)*$G$3</f>
        <v>3</v>
      </c>
      <c r="H120" s="222" t="n">
        <f aca="false">$E120</f>
        <v>8.20875</v>
      </c>
      <c r="I120" s="185" t="n">
        <f aca="false">$E120</f>
        <v>8.20875</v>
      </c>
      <c r="J120" s="185" t="n">
        <f aca="false">$E120</f>
        <v>8.20875</v>
      </c>
      <c r="K120" s="185" t="n">
        <f aca="false">$E120</f>
        <v>8.20875</v>
      </c>
      <c r="L120" s="185" t="n">
        <f aca="false">$E120</f>
        <v>8.20875</v>
      </c>
      <c r="M120" s="185" t="n">
        <f aca="false">M$3*$E120</f>
        <v>8.59805713644635</v>
      </c>
      <c r="N120" s="185" t="n">
        <f aca="false">N$3*$E120</f>
        <v>8.83145083524938</v>
      </c>
      <c r="O120" s="185" t="n">
        <f aca="false">O$3*$E120</f>
        <v>9.18725698614906</v>
      </c>
      <c r="P120" s="185" t="n">
        <f aca="false">P$3*$E120</f>
        <v>9.70623551854543</v>
      </c>
      <c r="Q120" s="185" t="n">
        <f aca="false">Q$3*$E120</f>
        <v>10.4164228926709</v>
      </c>
      <c r="R120" s="185" t="n">
        <f aca="false">R$3*$E120</f>
        <v>11.3078869649968</v>
      </c>
      <c r="S120" s="185" t="n">
        <f aca="false">S$3*$E120</f>
        <v>12.313125</v>
      </c>
      <c r="T120" s="185" t="n">
        <f aca="false">T$3*$E120</f>
        <v>13.3183630350032</v>
      </c>
      <c r="U120" s="185" t="n">
        <f aca="false">U$3*$E120</f>
        <v>14.2098271073291</v>
      </c>
      <c r="V120" s="185" t="n">
        <f aca="false">V$3*$E120</f>
        <v>14.9200144814546</v>
      </c>
      <c r="W120" s="185" t="n">
        <f aca="false">W$3*$E120</f>
        <v>15.4389930138509</v>
      </c>
      <c r="X120" s="185" t="n">
        <f aca="false">X$3*$E120</f>
        <v>15.7947991647506</v>
      </c>
      <c r="Y120" s="185" t="n">
        <f aca="false">Y$3*$E120</f>
        <v>16.0281928635537</v>
      </c>
      <c r="Z120" s="185" t="n">
        <f aca="false">Z$3*$E120</f>
        <v>16.1768832258198</v>
      </c>
      <c r="AA120" s="185" t="n">
        <f aca="false">AA$3*$E120</f>
        <v>16.2698556989737</v>
      </c>
      <c r="AB120" s="185" t="n">
        <f aca="false">AB$3*$E120</f>
        <v>16.3273109346811</v>
      </c>
      <c r="AC120" s="185" t="n">
        <f aca="false">AC$3*$E120</f>
        <v>16.3625600599753</v>
      </c>
      <c r="AD120" s="219" t="n">
        <f aca="false">Algae_electricity_factor/H120</f>
        <v>0.00167426186734025</v>
      </c>
      <c r="AE120" s="220" t="n">
        <f aca="false">Algae_electricity_factor/I120</f>
        <v>0.00167426186734025</v>
      </c>
      <c r="AF120" s="220" t="n">
        <f aca="false">Algae_electricity_factor/J120</f>
        <v>0.00167426186734025</v>
      </c>
      <c r="AG120" s="220" t="n">
        <f aca="false">Algae_electricity_factor/K120</f>
        <v>0.00167426186734025</v>
      </c>
      <c r="AH120" s="220" t="n">
        <f aca="false">Algae_electricity_factor/L120</f>
        <v>0.00167426186734025</v>
      </c>
      <c r="AI120" s="220" t="n">
        <f aca="false">Algae_electricity_factor/M120</f>
        <v>0.00159845380013485</v>
      </c>
      <c r="AJ120" s="220" t="n">
        <f aca="false">Algae_electricity_factor/N120</f>
        <v>0.00155621056606847</v>
      </c>
      <c r="AK120" s="220" t="n">
        <f aca="false">Algae_electricity_factor/O120</f>
        <v>0.00149594129393022</v>
      </c>
      <c r="AL120" s="220" t="n">
        <f aca="false">Algae_electricity_factor/P120</f>
        <v>0.0014159554522729</v>
      </c>
      <c r="AM120" s="220" t="n">
        <f aca="false">Algae_electricity_factor/Q120</f>
        <v>0.00131941619931727</v>
      </c>
      <c r="AN120" s="220" t="n">
        <f aca="false">Algae_electricity_factor/R120</f>
        <v>0.00121539922941149</v>
      </c>
      <c r="AO120" s="220" t="n">
        <f aca="false">Algae_electricity_factor/S120</f>
        <v>0.00111617457822683</v>
      </c>
      <c r="AP120" s="220" t="n">
        <f aca="false">Algae_electricity_factor/T120</f>
        <v>0.00103192840346884</v>
      </c>
      <c r="AQ120" s="220" t="n">
        <f aca="false">Algae_electricity_factor/U120</f>
        <v>0.000967189607566772</v>
      </c>
      <c r="AR120" s="220" t="n">
        <f aca="false">Algae_electricity_factor/V120</f>
        <v>0.000921151726803778</v>
      </c>
      <c r="AS120" s="220" t="n">
        <f aca="false">Algae_electricity_factor/W120</f>
        <v>0.000890187403491881</v>
      </c>
      <c r="AT120" s="220" t="n">
        <f aca="false">Algae_electricity_factor/X120</f>
        <v>0.000870134337269761</v>
      </c>
      <c r="AU120" s="220" t="n">
        <f aca="false">Algae_electricity_factor/Y120</f>
        <v>0.000857463921262184</v>
      </c>
      <c r="AV120" s="220" t="n">
        <f aca="false">Algae_electricity_factor/Z120</f>
        <v>0.000849582513001837</v>
      </c>
      <c r="AW120" s="220" t="n">
        <f aca="false">Algae_electricity_factor/AA120</f>
        <v>0.000844727658180534</v>
      </c>
      <c r="AX120" s="220" t="n">
        <f aca="false">Algae_electricity_factor/AB120</f>
        <v>0.000841755091117684</v>
      </c>
      <c r="AY120" s="220" t="n">
        <f aca="false">Algae_electricity_factor/AC120</f>
        <v>0.000839941736082466</v>
      </c>
      <c r="AZ120" s="211" t="n">
        <f aca="false">Algae_yield_cost_factor/H120</f>
        <v>0.0926867817007727</v>
      </c>
      <c r="BA120" s="18" t="n">
        <f aca="false">Algae_yield_cost_factor/I120</f>
        <v>0.0926867817007727</v>
      </c>
      <c r="BB120" s="18" t="n">
        <f aca="false">Algae_yield_cost_factor/J120</f>
        <v>0.0926867817007727</v>
      </c>
      <c r="BC120" s="18" t="n">
        <f aca="false">Algae_yield_cost_factor/K120</f>
        <v>0.0926867817007727</v>
      </c>
      <c r="BD120" s="18" t="n">
        <f aca="false">Algae_yield_cost_factor/L120</f>
        <v>0.0926867817007727</v>
      </c>
      <c r="BE120" s="18" t="n">
        <f aca="false">Algae_yield_cost_factor/M120</f>
        <v>0.0884900631866097</v>
      </c>
      <c r="BF120" s="18" t="n">
        <f aca="false">Algae_yield_cost_factor/N120</f>
        <v>0.0861514867126284</v>
      </c>
      <c r="BG120" s="18" t="n">
        <f aca="false">Algae_yield_cost_factor/O120</f>
        <v>0.0828149925960799</v>
      </c>
      <c r="BH120" s="18" t="n">
        <f aca="false">Algae_yield_cost_factor/P120</f>
        <v>0.0783869933747741</v>
      </c>
      <c r="BI120" s="18" t="n">
        <f aca="false">Algae_yield_cost_factor/Q120</f>
        <v>0.0730426008165962</v>
      </c>
      <c r="BJ120" s="18" t="n">
        <f aca="false">Algae_yield_cost_factor/R120</f>
        <v>0.0672842434348153</v>
      </c>
      <c r="BK120" s="18" t="n">
        <f aca="false">Algae_yield_cost_factor/S120</f>
        <v>0.0617911878005151</v>
      </c>
      <c r="BL120" s="18" t="n">
        <f aca="false">Algae_yield_cost_factor/T120</f>
        <v>0.0571273374427906</v>
      </c>
      <c r="BM120" s="18" t="n">
        <f aca="false">Algae_yield_cost_factor/U120</f>
        <v>0.0535434114391016</v>
      </c>
      <c r="BN120" s="18" t="n">
        <f aca="false">Algae_yield_cost_factor/V120</f>
        <v>0.050994764129213</v>
      </c>
      <c r="BO120" s="18" t="n">
        <f aca="false">Algae_yield_cost_factor/W120</f>
        <v>0.0492805857612368</v>
      </c>
      <c r="BP120" s="18" t="n">
        <f aca="false">Algae_yield_cost_factor/X120</f>
        <v>0.0481704522704028</v>
      </c>
      <c r="BQ120" s="18" t="n">
        <f aca="false">Algae_yield_cost_factor/Y120</f>
        <v>0.0474690207288615</v>
      </c>
      <c r="BR120" s="18" t="n">
        <f aca="false">Algae_yield_cost_factor/Z120</f>
        <v>0.0470327076399886</v>
      </c>
      <c r="BS120" s="18" t="n">
        <f aca="false">Algae_yield_cost_factor/AA120</f>
        <v>0.0467639439072722</v>
      </c>
      <c r="BT120" s="18" t="n">
        <f aca="false">Algae_yield_cost_factor/AB120</f>
        <v>0.0465993832254458</v>
      </c>
      <c r="BU120" s="18" t="n">
        <f aca="false">Algae_yield_cost_factor/AC120</f>
        <v>0.0464989962754867</v>
      </c>
    </row>
    <row r="121" customFormat="false" ht="15" hidden="false" customHeight="false" outlineLevel="0" collapsed="false">
      <c r="A121" s="18" t="s">
        <v>708</v>
      </c>
      <c r="B121" s="18" t="s">
        <v>22</v>
      </c>
      <c r="C121" s="18" t="s">
        <v>694</v>
      </c>
      <c r="D121" s="18" t="s">
        <v>694</v>
      </c>
      <c r="E121" s="185" t="n">
        <v>8.53875</v>
      </c>
      <c r="F121" s="18" t="n">
        <f aca="false">E121/$B$2*$F$3/1000</f>
        <v>0.0209199375</v>
      </c>
      <c r="G121" s="18" t="n">
        <f aca="false">LOOKUP(RIGHT(D121,5),Ref!$C$4:$C$21,Ref!$E$4:$E$21)*$G$3</f>
        <v>3</v>
      </c>
      <c r="H121" s="222" t="n">
        <f aca="false">$E121</f>
        <v>8.53875</v>
      </c>
      <c r="I121" s="185" t="n">
        <f aca="false">$E121</f>
        <v>8.53875</v>
      </c>
      <c r="J121" s="185" t="n">
        <f aca="false">$E121</f>
        <v>8.53875</v>
      </c>
      <c r="K121" s="185" t="n">
        <f aca="false">$E121</f>
        <v>8.53875</v>
      </c>
      <c r="L121" s="185" t="n">
        <f aca="false">$E121</f>
        <v>8.53875</v>
      </c>
      <c r="M121" s="185" t="n">
        <f aca="false">M$3*$E121</f>
        <v>8.94370767459495</v>
      </c>
      <c r="N121" s="185" t="n">
        <f aca="false">N$3*$E121</f>
        <v>9.18648403465639</v>
      </c>
      <c r="O121" s="185" t="n">
        <f aca="false">O$3*$E121</f>
        <v>9.55659395041636</v>
      </c>
      <c r="P121" s="185" t="n">
        <f aca="false">P$3*$E121</f>
        <v>10.0964359414015</v>
      </c>
      <c r="Q121" s="185" t="n">
        <f aca="false">Q$3*$E121</f>
        <v>10.835173561723</v>
      </c>
      <c r="R121" s="185" t="n">
        <f aca="false">R$3*$E121</f>
        <v>11.7624753857002</v>
      </c>
      <c r="S121" s="185" t="n">
        <f aca="false">S$3*$E121</f>
        <v>12.808125</v>
      </c>
      <c r="T121" s="185" t="n">
        <f aca="false">T$3*$E121</f>
        <v>13.8537746142998</v>
      </c>
      <c r="U121" s="185" t="n">
        <f aca="false">U$3*$E121</f>
        <v>14.781076438277</v>
      </c>
      <c r="V121" s="185" t="n">
        <f aca="false">V$3*$E121</f>
        <v>15.5198140585985</v>
      </c>
      <c r="W121" s="185" t="n">
        <f aca="false">W$3*$E121</f>
        <v>16.0596560495836</v>
      </c>
      <c r="X121" s="185" t="n">
        <f aca="false">X$3*$E121</f>
        <v>16.4297659653436</v>
      </c>
      <c r="Y121" s="185" t="n">
        <f aca="false">Y$3*$E121</f>
        <v>16.6725423254051</v>
      </c>
      <c r="Z121" s="185" t="n">
        <f aca="false">Z$3*$E121</f>
        <v>16.8272101896719</v>
      </c>
      <c r="AA121" s="185" t="n">
        <f aca="false">AA$3*$E121</f>
        <v>16.9239202496862</v>
      </c>
      <c r="AB121" s="185" t="n">
        <f aca="false">AB$3*$E121</f>
        <v>16.983685243613</v>
      </c>
      <c r="AC121" s="185" t="n">
        <f aca="false">AC$3*$E121</f>
        <v>17.0203514191703</v>
      </c>
      <c r="AD121" s="219" t="n">
        <f aca="false">Algae_electricity_factor/H121</f>
        <v>0.00160955609468942</v>
      </c>
      <c r="AE121" s="220" t="n">
        <f aca="false">Algae_electricity_factor/I121</f>
        <v>0.00160955609468942</v>
      </c>
      <c r="AF121" s="220" t="n">
        <f aca="false">Algae_electricity_factor/J121</f>
        <v>0.00160955609468942</v>
      </c>
      <c r="AG121" s="220" t="n">
        <f aca="false">Algae_electricity_factor/K121</f>
        <v>0.00160955609468942</v>
      </c>
      <c r="AH121" s="220" t="n">
        <f aca="false">Algae_electricity_factor/L121</f>
        <v>0.00160955609468942</v>
      </c>
      <c r="AI121" s="220" t="n">
        <f aca="false">Algae_electricity_factor/M121</f>
        <v>0.00153667780785911</v>
      </c>
      <c r="AJ121" s="220" t="n">
        <f aca="false">Algae_electricity_factor/N121</f>
        <v>0.00149606716254891</v>
      </c>
      <c r="AK121" s="220" t="n">
        <f aca="false">Algae_electricity_factor/O121</f>
        <v>0.00143812713764306</v>
      </c>
      <c r="AL121" s="220" t="n">
        <f aca="false">Algae_electricity_factor/P121</f>
        <v>0.00136123253624303</v>
      </c>
      <c r="AM121" s="220" t="n">
        <f aca="false">Algae_electricity_factor/Q121</f>
        <v>0.00126842426890887</v>
      </c>
      <c r="AN121" s="220" t="n">
        <f aca="false">Algae_electricity_factor/R121</f>
        <v>0.00116842727851636</v>
      </c>
      <c r="AO121" s="220" t="n">
        <f aca="false">Algae_electricity_factor/S121</f>
        <v>0.00107303739645961</v>
      </c>
      <c r="AP121" s="220" t="n">
        <f aca="false">Algae_electricity_factor/T121</f>
        <v>0.00099204711251352</v>
      </c>
      <c r="AQ121" s="220" t="n">
        <f aca="false">Algae_electricity_factor/U121</f>
        <v>0.000929810299061776</v>
      </c>
      <c r="AR121" s="220" t="n">
        <f aca="false">Algae_electricity_factor/V121</f>
        <v>0.000885551660067401</v>
      </c>
      <c r="AS121" s="220" t="n">
        <f aca="false">Algae_electricity_factor/W121</f>
        <v>0.000855784025579152</v>
      </c>
      <c r="AT121" s="220" t="n">
        <f aca="false">Algae_electricity_factor/X121</f>
        <v>0.000836505957085423</v>
      </c>
      <c r="AU121" s="220" t="n">
        <f aca="false">Algae_electricity_factor/Y121</f>
        <v>0.000824325218991181</v>
      </c>
      <c r="AV121" s="220" t="n">
        <f aca="false">Algae_electricity_factor/Z121</f>
        <v>0.000816748406219158</v>
      </c>
      <c r="AW121" s="220" t="n">
        <f aca="false">Algae_electricity_factor/AA121</f>
        <v>0.000812081178637325</v>
      </c>
      <c r="AX121" s="220" t="n">
        <f aca="false">Algae_electricity_factor/AB121</f>
        <v>0.000809223493393329</v>
      </c>
      <c r="AY121" s="220" t="n">
        <f aca="false">Algae_electricity_factor/AC121</f>
        <v>0.00080748021971213</v>
      </c>
      <c r="AZ121" s="211" t="n">
        <f aca="false">Algae_yield_cost_factor/H121</f>
        <v>0.0891046838572646</v>
      </c>
      <c r="BA121" s="18" t="n">
        <f aca="false">Algae_yield_cost_factor/I121</f>
        <v>0.0891046838572646</v>
      </c>
      <c r="BB121" s="18" t="n">
        <f aca="false">Algae_yield_cost_factor/J121</f>
        <v>0.0891046838572646</v>
      </c>
      <c r="BC121" s="18" t="n">
        <f aca="false">Algae_yield_cost_factor/K121</f>
        <v>0.0891046838572646</v>
      </c>
      <c r="BD121" s="18" t="n">
        <f aca="false">Algae_yield_cost_factor/L121</f>
        <v>0.0891046838572646</v>
      </c>
      <c r="BE121" s="18" t="n">
        <f aca="false">Algae_yield_cost_factor/M121</f>
        <v>0.0850701573629726</v>
      </c>
      <c r="BF121" s="18" t="n">
        <f aca="false">Algae_yield_cost_factor/N121</f>
        <v>0.0828219606561017</v>
      </c>
      <c r="BG121" s="18" t="n">
        <f aca="false">Algae_yield_cost_factor/O121</f>
        <v>0.0796144131720769</v>
      </c>
      <c r="BH121" s="18" t="n">
        <f aca="false">Algae_yield_cost_factor/P121</f>
        <v>0.0753575443554592</v>
      </c>
      <c r="BI121" s="18" t="n">
        <f aca="false">Algae_yield_cost_factor/Q121</f>
        <v>0.070219698369578</v>
      </c>
      <c r="BJ121" s="18" t="n">
        <f aca="false">Algae_yield_cost_factor/R121</f>
        <v>0.0646838862006195</v>
      </c>
      <c r="BK121" s="18" t="n">
        <f aca="false">Algae_yield_cost_factor/S121</f>
        <v>0.0594031225715097</v>
      </c>
      <c r="BL121" s="18" t="n">
        <f aca="false">Algae_yield_cost_factor/T121</f>
        <v>0.0549195176382383</v>
      </c>
      <c r="BM121" s="18" t="n">
        <f aca="false">Algae_yield_cost_factor/U121</f>
        <v>0.0514741008520832</v>
      </c>
      <c r="BN121" s="18" t="n">
        <f aca="false">Algae_yield_cost_factor/V121</f>
        <v>0.0490239519889536</v>
      </c>
      <c r="BO121" s="18" t="n">
        <f aca="false">Algae_yield_cost_factor/W121</f>
        <v>0.0473760220603195</v>
      </c>
      <c r="BP121" s="18" t="n">
        <f aca="false">Algae_yield_cost_factor/X121</f>
        <v>0.0463087922792761</v>
      </c>
      <c r="BQ121" s="18" t="n">
        <f aca="false">Algae_yield_cost_factor/Y121</f>
        <v>0.0456344692031084</v>
      </c>
      <c r="BR121" s="18" t="n">
        <f aca="false">Algae_yield_cost_factor/Z121</f>
        <v>0.0452150184558344</v>
      </c>
      <c r="BS121" s="18" t="n">
        <f aca="false">Algae_yield_cost_factor/AA121</f>
        <v>0.044956641727281</v>
      </c>
      <c r="BT121" s="18" t="n">
        <f aca="false">Algae_yield_cost_factor/AB121</f>
        <v>0.0447984408785687</v>
      </c>
      <c r="BU121" s="18" t="n">
        <f aca="false">Algae_yield_cost_factor/AC121</f>
        <v>0.0447019336174969</v>
      </c>
    </row>
    <row r="122" customFormat="false" ht="15" hidden="false" customHeight="false" outlineLevel="0" collapsed="false">
      <c r="A122" s="18" t="s">
        <v>708</v>
      </c>
      <c r="B122" s="18" t="s">
        <v>22</v>
      </c>
      <c r="C122" s="18" t="s">
        <v>682</v>
      </c>
      <c r="D122" s="18" t="s">
        <v>682</v>
      </c>
      <c r="E122" s="185" t="n">
        <v>7.69725</v>
      </c>
      <c r="F122" s="18" t="n">
        <f aca="false">E122/$B$2*$F$3/1000</f>
        <v>0.0188582625</v>
      </c>
      <c r="G122" s="18" t="n">
        <f aca="false">LOOKUP(RIGHT(D122,5),Ref!$C$4:$C$21,Ref!$E$4:$E$21)*$G$3</f>
        <v>3</v>
      </c>
      <c r="H122" s="222" t="n">
        <f aca="false">$E122</f>
        <v>7.69725</v>
      </c>
      <c r="I122" s="185" t="n">
        <f aca="false">$E122</f>
        <v>7.69725</v>
      </c>
      <c r="J122" s="185" t="n">
        <f aca="false">$E122</f>
        <v>7.69725</v>
      </c>
      <c r="K122" s="185" t="n">
        <f aca="false">$E122</f>
        <v>7.69725</v>
      </c>
      <c r="L122" s="185" t="n">
        <f aca="false">$E122</f>
        <v>7.69725</v>
      </c>
      <c r="M122" s="185" t="n">
        <f aca="false">M$3*$E122</f>
        <v>8.06229880231603</v>
      </c>
      <c r="N122" s="185" t="n">
        <f aca="false">N$3*$E122</f>
        <v>8.28114937616852</v>
      </c>
      <c r="O122" s="185" t="n">
        <f aca="false">O$3*$E122</f>
        <v>8.61478469153474</v>
      </c>
      <c r="P122" s="185" t="n">
        <f aca="false">P$3*$E122</f>
        <v>9.10142486311848</v>
      </c>
      <c r="Q122" s="185" t="n">
        <f aca="false">Q$3*$E122</f>
        <v>9.7673593556402</v>
      </c>
      <c r="R122" s="185" t="n">
        <f aca="false">R$3*$E122</f>
        <v>10.6032749129065</v>
      </c>
      <c r="S122" s="185" t="n">
        <f aca="false">S$3*$E122</f>
        <v>11.545875</v>
      </c>
      <c r="T122" s="185" t="n">
        <f aca="false">T$3*$E122</f>
        <v>12.4884750870935</v>
      </c>
      <c r="U122" s="185" t="n">
        <f aca="false">U$3*$E122</f>
        <v>13.3243906443598</v>
      </c>
      <c r="V122" s="185" t="n">
        <f aca="false">V$3*$E122</f>
        <v>13.9903251368815</v>
      </c>
      <c r="W122" s="185" t="n">
        <f aca="false">W$3*$E122</f>
        <v>14.4769653084653</v>
      </c>
      <c r="X122" s="185" t="n">
        <f aca="false">X$3*$E122</f>
        <v>14.8106006238315</v>
      </c>
      <c r="Y122" s="185" t="n">
        <f aca="false">Y$3*$E122</f>
        <v>15.029451197684</v>
      </c>
      <c r="Z122" s="185" t="n">
        <f aca="false">Z$3*$E122</f>
        <v>15.1688764318491</v>
      </c>
      <c r="AA122" s="185" t="n">
        <f aca="false">AA$3*$E122</f>
        <v>15.2560556453693</v>
      </c>
      <c r="AB122" s="185" t="n">
        <f aca="false">AB$3*$E122</f>
        <v>15.3099307558367</v>
      </c>
      <c r="AC122" s="185" t="n">
        <f aca="false">AC$3*$E122</f>
        <v>15.3429834532231</v>
      </c>
      <c r="AD122" s="219" t="n">
        <f aca="false">Algae_electricity_factor/H122</f>
        <v>0.00178552042658472</v>
      </c>
      <c r="AE122" s="220" t="n">
        <f aca="false">Algae_electricity_factor/I122</f>
        <v>0.00178552042658472</v>
      </c>
      <c r="AF122" s="220" t="n">
        <f aca="false">Algae_electricity_factor/J122</f>
        <v>0.00178552042658472</v>
      </c>
      <c r="AG122" s="220" t="n">
        <f aca="false">Algae_electricity_factor/K122</f>
        <v>0.00178552042658472</v>
      </c>
      <c r="AH122" s="220" t="n">
        <f aca="false">Algae_electricity_factor/L122</f>
        <v>0.00178552042658472</v>
      </c>
      <c r="AI122" s="220" t="n">
        <f aca="false">Algae_electricity_factor/M122</f>
        <v>0.00170467473862184</v>
      </c>
      <c r="AJ122" s="220" t="n">
        <f aca="false">Algae_electricity_factor/N122</f>
        <v>0.00165962434430667</v>
      </c>
      <c r="AK122" s="220" t="n">
        <f aca="false">Algae_electricity_factor/O122</f>
        <v>0.00159535004015066</v>
      </c>
      <c r="AL122" s="220" t="n">
        <f aca="false">Algae_electricity_factor/P122</f>
        <v>0.00151004895499628</v>
      </c>
      <c r="AM122" s="220" t="n">
        <f aca="false">Algae_electricity_factor/Q122</f>
        <v>0.00140709444621723</v>
      </c>
      <c r="AN122" s="220" t="n">
        <f aca="false">Algae_electricity_factor/R122</f>
        <v>0.00129616530896509</v>
      </c>
      <c r="AO122" s="220" t="n">
        <f aca="false">Algae_electricity_factor/S122</f>
        <v>0.00119034695105648</v>
      </c>
      <c r="AP122" s="220" t="n">
        <f aca="false">Algae_electricity_factor/T122</f>
        <v>0.0011005024238494</v>
      </c>
      <c r="AQ122" s="220" t="n">
        <f aca="false">Algae_electricity_factor/U122</f>
        <v>0.00103146158577592</v>
      </c>
      <c r="AR122" s="220" t="n">
        <f aca="false">Algae_electricity_factor/V122</f>
        <v>0.000982364381746795</v>
      </c>
      <c r="AS122" s="220" t="n">
        <f aca="false">Algae_electricity_factor/W122</f>
        <v>0.000949342407796808</v>
      </c>
      <c r="AT122" s="220" t="n">
        <f aca="false">Algae_electricity_factor/X122</f>
        <v>0.000927956769114054</v>
      </c>
      <c r="AU122" s="220" t="n">
        <f aca="false">Algae_electricity_factor/Y122</f>
        <v>0.000914444374765137</v>
      </c>
      <c r="AV122" s="220" t="n">
        <f aca="false">Algae_electricity_factor/Z122</f>
        <v>0.000906039228764017</v>
      </c>
      <c r="AW122" s="220" t="n">
        <f aca="false">Algae_electricity_factor/AA122</f>
        <v>0.000900861757652338</v>
      </c>
      <c r="AX122" s="220" t="n">
        <f aca="false">Algae_electricity_factor/AB122</f>
        <v>0.000897691656658194</v>
      </c>
      <c r="AY122" s="220" t="n">
        <f aca="false">Algae_electricity_factor/AC122</f>
        <v>0.000895757800002201</v>
      </c>
      <c r="AZ122" s="211" t="n">
        <f aca="false">Algae_yield_cost_factor/H122</f>
        <v>0.0988460319316922</v>
      </c>
      <c r="BA122" s="18" t="n">
        <f aca="false">Algae_yield_cost_factor/I122</f>
        <v>0.0988460319316922</v>
      </c>
      <c r="BB122" s="18" t="n">
        <f aca="false">Algae_yield_cost_factor/J122</f>
        <v>0.0988460319316922</v>
      </c>
      <c r="BC122" s="18" t="n">
        <f aca="false">Algae_yield_cost_factor/K122</f>
        <v>0.0988460319316922</v>
      </c>
      <c r="BD122" s="18" t="n">
        <f aca="false">Algae_yield_cost_factor/L122</f>
        <v>0.0988460319316922</v>
      </c>
      <c r="BE122" s="18" t="n">
        <f aca="false">Algae_yield_cost_factor/M122</f>
        <v>0.0943704318013683</v>
      </c>
      <c r="BF122" s="18" t="n">
        <f aca="false">Algae_yield_cost_factor/N122</f>
        <v>0.0918764515316883</v>
      </c>
      <c r="BG122" s="18" t="n">
        <f aca="false">Algae_yield_cost_factor/O122</f>
        <v>0.0883182396924968</v>
      </c>
      <c r="BH122" s="18" t="n">
        <f aca="false">Algae_yield_cost_factor/P122</f>
        <v>0.0835959897190785</v>
      </c>
      <c r="BI122" s="18" t="n">
        <f aca="false">Algae_yield_cost_factor/Q122</f>
        <v>0.0778964499598212</v>
      </c>
      <c r="BJ122" s="18" t="n">
        <f aca="false">Algae_yield_cost_factor/R122</f>
        <v>0.0717554364604943</v>
      </c>
      <c r="BK122" s="18" t="n">
        <f aca="false">Algae_yield_cost_factor/S122</f>
        <v>0.0658973546211281</v>
      </c>
      <c r="BL122" s="18" t="n">
        <f aca="false">Algae_yield_cost_factor/T122</f>
        <v>0.060923580659782</v>
      </c>
      <c r="BM122" s="18" t="n">
        <f aca="false">Algae_yield_cost_factor/U122</f>
        <v>0.0571014945143688</v>
      </c>
      <c r="BN122" s="18" t="n">
        <f aca="false">Algae_yield_cost_factor/V122</f>
        <v>0.0543834837176494</v>
      </c>
      <c r="BO122" s="18" t="n">
        <f aca="false">Algae_yield_cost_factor/W122</f>
        <v>0.0525553942469782</v>
      </c>
      <c r="BP122" s="18" t="n">
        <f aca="false">Algae_yield_cost_factor/X122</f>
        <v>0.0513714898274928</v>
      </c>
      <c r="BQ122" s="18" t="n">
        <f aca="false">Algae_yield_cost_factor/Y122</f>
        <v>0.0506234465436411</v>
      </c>
      <c r="BR122" s="18" t="n">
        <f aca="false">Algae_yield_cost_factor/Z122</f>
        <v>0.0501581394445751</v>
      </c>
      <c r="BS122" s="18" t="n">
        <f aca="false">Algae_yield_cost_factor/AA122</f>
        <v>0.0498715157424821</v>
      </c>
      <c r="BT122" s="18" t="n">
        <f aca="false">Algae_yield_cost_factor/AB122</f>
        <v>0.0496960196241357</v>
      </c>
      <c r="BU122" s="18" t="n">
        <f aca="false">Algae_yield_cost_factor/AC122</f>
        <v>0.0495889617300206</v>
      </c>
    </row>
    <row r="123" customFormat="false" ht="15" hidden="false" customHeight="false" outlineLevel="0" collapsed="false">
      <c r="A123" s="18" t="s">
        <v>708</v>
      </c>
      <c r="B123" s="18" t="s">
        <v>22</v>
      </c>
      <c r="C123" s="18" t="s">
        <v>683</v>
      </c>
      <c r="D123" s="18" t="s">
        <v>683</v>
      </c>
      <c r="E123" s="185" t="n">
        <v>8.217</v>
      </c>
      <c r="F123" s="18" t="n">
        <f aca="false">E123/$B$2*$F$3/1000</f>
        <v>0.02013165</v>
      </c>
      <c r="G123" s="18" t="n">
        <f aca="false">LOOKUP(RIGHT(D123,5),Ref!$C$4:$C$21,Ref!$E$4:$E$21)*$G$3</f>
        <v>3</v>
      </c>
      <c r="H123" s="222" t="n">
        <f aca="false">$E123</f>
        <v>8.217</v>
      </c>
      <c r="I123" s="185" t="n">
        <f aca="false">$E123</f>
        <v>8.217</v>
      </c>
      <c r="J123" s="185" t="n">
        <f aca="false">$E123</f>
        <v>8.217</v>
      </c>
      <c r="K123" s="185" t="n">
        <f aca="false">$E123</f>
        <v>8.217</v>
      </c>
      <c r="L123" s="185" t="n">
        <f aca="false">$E123</f>
        <v>8.217</v>
      </c>
      <c r="M123" s="185" t="n">
        <f aca="false">M$3*$E123</f>
        <v>8.60669839990007</v>
      </c>
      <c r="N123" s="185" t="n">
        <f aca="false">N$3*$E123</f>
        <v>8.84032666523456</v>
      </c>
      <c r="O123" s="185" t="n">
        <f aca="false">O$3*$E123</f>
        <v>9.19649041025574</v>
      </c>
      <c r="P123" s="185" t="n">
        <f aca="false">P$3*$E123</f>
        <v>9.71599052911683</v>
      </c>
      <c r="Q123" s="185" t="n">
        <f aca="false">Q$3*$E123</f>
        <v>10.4268916593973</v>
      </c>
      <c r="R123" s="185" t="n">
        <f aca="false">R$3*$E123</f>
        <v>11.3192516755144</v>
      </c>
      <c r="S123" s="185" t="n">
        <f aca="false">S$3*$E123</f>
        <v>12.3255</v>
      </c>
      <c r="T123" s="185" t="n">
        <f aca="false">T$3*$E123</f>
        <v>13.3317483244856</v>
      </c>
      <c r="U123" s="185" t="n">
        <f aca="false">U$3*$E123</f>
        <v>14.2241083406028</v>
      </c>
      <c r="V123" s="185" t="n">
        <f aca="false">V$3*$E123</f>
        <v>14.9350094708832</v>
      </c>
      <c r="W123" s="185" t="n">
        <f aca="false">W$3*$E123</f>
        <v>15.4545095897443</v>
      </c>
      <c r="X123" s="185" t="n">
        <f aca="false">X$3*$E123</f>
        <v>15.8106733347654</v>
      </c>
      <c r="Y123" s="185" t="n">
        <f aca="false">Y$3*$E123</f>
        <v>16.0443016000999</v>
      </c>
      <c r="Z123" s="185" t="n">
        <f aca="false">Z$3*$E123</f>
        <v>16.1931413999161</v>
      </c>
      <c r="AA123" s="185" t="n">
        <f aca="false">AA$3*$E123</f>
        <v>16.2862073127415</v>
      </c>
      <c r="AB123" s="185" t="n">
        <f aca="false">AB$3*$E123</f>
        <v>16.3437202924044</v>
      </c>
      <c r="AC123" s="185" t="n">
        <f aca="false">AC$3*$E123</f>
        <v>16.3790048439552</v>
      </c>
      <c r="AD123" s="219" t="n">
        <f aca="false">Algae_electricity_factor/H123</f>
        <v>0.00167258088152967</v>
      </c>
      <c r="AE123" s="220" t="n">
        <f aca="false">Algae_electricity_factor/I123</f>
        <v>0.00167258088152967</v>
      </c>
      <c r="AF123" s="220" t="n">
        <f aca="false">Algae_electricity_factor/J123</f>
        <v>0.00167258088152967</v>
      </c>
      <c r="AG123" s="220" t="n">
        <f aca="false">Algae_electricity_factor/K123</f>
        <v>0.00167258088152967</v>
      </c>
      <c r="AH123" s="220" t="n">
        <f aca="false">Algae_electricity_factor/L123</f>
        <v>0.00167258088152967</v>
      </c>
      <c r="AI123" s="220" t="n">
        <f aca="false">Algae_electricity_factor/M123</f>
        <v>0.00159684892684154</v>
      </c>
      <c r="AJ123" s="220" t="n">
        <f aca="false">Algae_electricity_factor/N123</f>
        <v>0.00155464810566077</v>
      </c>
      <c r="AK123" s="220" t="n">
        <f aca="false">Algae_electricity_factor/O123</f>
        <v>0.00149443934483993</v>
      </c>
      <c r="AL123" s="220" t="n">
        <f aca="false">Algae_electricity_factor/P123</f>
        <v>0.00141453381025254</v>
      </c>
      <c r="AM123" s="220" t="n">
        <f aca="false">Algae_electricity_factor/Q123</f>
        <v>0.00131809148425771</v>
      </c>
      <c r="AN123" s="220" t="n">
        <f aca="false">Algae_electricity_factor/R123</f>
        <v>0.00121417894906067</v>
      </c>
      <c r="AO123" s="220" t="n">
        <f aca="false">Algae_electricity_factor/S123</f>
        <v>0.00111505392101978</v>
      </c>
      <c r="AP123" s="220" t="n">
        <f aca="false">Algae_electricity_factor/T123</f>
        <v>0.00103089233077459</v>
      </c>
      <c r="AQ123" s="220" t="n">
        <f aca="false">Algae_electricity_factor/U123</f>
        <v>0.000966218533663592</v>
      </c>
      <c r="AR123" s="220" t="n">
        <f aca="false">Algae_electricity_factor/V123</f>
        <v>0.000920226875672449</v>
      </c>
      <c r="AS123" s="220" t="n">
        <f aca="false">Algae_electricity_factor/W123</f>
        <v>0.000889293641038576</v>
      </c>
      <c r="AT123" s="220" t="n">
        <f aca="false">Algae_electricity_factor/X123</f>
        <v>0.000869260708417081</v>
      </c>
      <c r="AU123" s="220" t="n">
        <f aca="false">Algae_electricity_factor/Y123</f>
        <v>0.000856603013710716</v>
      </c>
      <c r="AV123" s="220" t="n">
        <f aca="false">Algae_electricity_factor/Z123</f>
        <v>0.000848729518510872</v>
      </c>
      <c r="AW123" s="220" t="n">
        <f aca="false">Algae_electricity_factor/AA123</f>
        <v>0.000843879538041799</v>
      </c>
      <c r="AX123" s="220" t="n">
        <f aca="false">Algae_electricity_factor/AB123</f>
        <v>0.000840909955484031</v>
      </c>
      <c r="AY123" s="220" t="n">
        <f aca="false">Algae_electricity_factor/AC123</f>
        <v>0.000839098421086399</v>
      </c>
      <c r="AZ123" s="211" t="n">
        <f aca="false">Algae_yield_cost_factor/H123</f>
        <v>0.0925937226830008</v>
      </c>
      <c r="BA123" s="18" t="n">
        <f aca="false">Algae_yield_cost_factor/I123</f>
        <v>0.0925937226830008</v>
      </c>
      <c r="BB123" s="18" t="n">
        <f aca="false">Algae_yield_cost_factor/J123</f>
        <v>0.0925937226830008</v>
      </c>
      <c r="BC123" s="18" t="n">
        <f aca="false">Algae_yield_cost_factor/K123</f>
        <v>0.0925937226830008</v>
      </c>
      <c r="BD123" s="18" t="n">
        <f aca="false">Algae_yield_cost_factor/L123</f>
        <v>0.0925937226830008</v>
      </c>
      <c r="BE123" s="18" t="n">
        <f aca="false">Algae_yield_cost_factor/M123</f>
        <v>0.0884012177416432</v>
      </c>
      <c r="BF123" s="18" t="n">
        <f aca="false">Algae_yield_cost_factor/N123</f>
        <v>0.0860649892360092</v>
      </c>
      <c r="BG123" s="18" t="n">
        <f aca="false">Algae_yield_cost_factor/O123</f>
        <v>0.0827318450131521</v>
      </c>
      <c r="BH123" s="18" t="n">
        <f aca="false">Algae_yield_cost_factor/P123</f>
        <v>0.0783082915741971</v>
      </c>
      <c r="BI123" s="18" t="n">
        <f aca="false">Algae_yield_cost_factor/Q123</f>
        <v>0.0729692648720012</v>
      </c>
      <c r="BJ123" s="18" t="n">
        <f aca="false">Algae_yield_cost_factor/R123</f>
        <v>0.0672166889735354</v>
      </c>
      <c r="BK123" s="18" t="n">
        <f aca="false">Algae_yield_cost_factor/S123</f>
        <v>0.0617291484553339</v>
      </c>
      <c r="BL123" s="18" t="n">
        <f aca="false">Algae_yield_cost_factor/T123</f>
        <v>0.0570699806782898</v>
      </c>
      <c r="BM123" s="18" t="n">
        <f aca="false">Algae_yield_cost_factor/U123</f>
        <v>0.0534896529938816</v>
      </c>
      <c r="BN123" s="18" t="n">
        <f aca="false">Algae_yield_cost_factor/V123</f>
        <v>0.0509435645668342</v>
      </c>
      <c r="BO123" s="18" t="n">
        <f aca="false">Algae_yield_cost_factor/W123</f>
        <v>0.0492311072614766</v>
      </c>
      <c r="BP123" s="18" t="n">
        <f aca="false">Algae_yield_cost_factor/X123</f>
        <v>0.0481220883625008</v>
      </c>
      <c r="BQ123" s="18" t="n">
        <f aca="false">Algae_yield_cost_factor/Y123</f>
        <v>0.0474213610694951</v>
      </c>
      <c r="BR123" s="18" t="n">
        <f aca="false">Algae_yield_cost_factor/Z123</f>
        <v>0.0469854860459725</v>
      </c>
      <c r="BS123" s="18" t="n">
        <f aca="false">Algae_yield_cost_factor/AA123</f>
        <v>0.0467169921563613</v>
      </c>
      <c r="BT123" s="18" t="n">
        <f aca="false">Algae_yield_cost_factor/AB123</f>
        <v>0.046552596696103</v>
      </c>
      <c r="BU123" s="18" t="n">
        <f aca="false">Algae_yield_cost_factor/AC123</f>
        <v>0.0464523105362543</v>
      </c>
    </row>
    <row r="124" customFormat="false" ht="15" hidden="false" customHeight="false" outlineLevel="0" collapsed="false">
      <c r="A124" s="18" t="s">
        <v>708</v>
      </c>
      <c r="B124" s="18" t="s">
        <v>22</v>
      </c>
      <c r="C124" s="18" t="s">
        <v>684</v>
      </c>
      <c r="D124" s="18" t="s">
        <v>684</v>
      </c>
      <c r="E124" s="185" t="n">
        <v>8.382</v>
      </c>
      <c r="F124" s="18" t="n">
        <f aca="false">E124/$B$2*$F$3/1000</f>
        <v>0.0205359</v>
      </c>
      <c r="G124" s="18" t="n">
        <f aca="false">LOOKUP(RIGHT(D124,5),Ref!$C$4:$C$21,Ref!$E$4:$E$21)*$G$3</f>
        <v>3.5</v>
      </c>
      <c r="H124" s="222" t="n">
        <f aca="false">$E124</f>
        <v>8.382</v>
      </c>
      <c r="I124" s="185" t="n">
        <f aca="false">$E124</f>
        <v>8.382</v>
      </c>
      <c r="J124" s="185" t="n">
        <f aca="false">$E124</f>
        <v>8.382</v>
      </c>
      <c r="K124" s="185" t="n">
        <f aca="false">$E124</f>
        <v>8.382</v>
      </c>
      <c r="L124" s="185" t="n">
        <f aca="false">$E124</f>
        <v>8.382</v>
      </c>
      <c r="M124" s="185" t="n">
        <f aca="false">M$3*$E124</f>
        <v>8.77952366897437</v>
      </c>
      <c r="N124" s="185" t="n">
        <f aca="false">N$3*$E124</f>
        <v>9.01784326493806</v>
      </c>
      <c r="O124" s="185" t="n">
        <f aca="false">O$3*$E124</f>
        <v>9.38115889238939</v>
      </c>
      <c r="P124" s="185" t="n">
        <f aca="false">P$3*$E124</f>
        <v>9.91109074054488</v>
      </c>
      <c r="Q124" s="185" t="n">
        <f aca="false">Q$3*$E124</f>
        <v>10.6362669939233</v>
      </c>
      <c r="R124" s="185" t="n">
        <f aca="false">R$3*$E124</f>
        <v>11.5465458858661</v>
      </c>
      <c r="S124" s="185" t="n">
        <f aca="false">S$3*$E124</f>
        <v>12.573</v>
      </c>
      <c r="T124" s="185" t="n">
        <f aca="false">T$3*$E124</f>
        <v>13.5994541141339</v>
      </c>
      <c r="U124" s="185" t="n">
        <f aca="false">U$3*$E124</f>
        <v>14.5097330060767</v>
      </c>
      <c r="V124" s="185" t="n">
        <f aca="false">V$3*$E124</f>
        <v>15.2349092594551</v>
      </c>
      <c r="W124" s="185" t="n">
        <f aca="false">W$3*$E124</f>
        <v>15.7648411076106</v>
      </c>
      <c r="X124" s="185" t="n">
        <f aca="false">X$3*$E124</f>
        <v>16.1281567350619</v>
      </c>
      <c r="Y124" s="185" t="n">
        <f aca="false">Y$3*$E124</f>
        <v>16.3664763310256</v>
      </c>
      <c r="Z124" s="185" t="n">
        <f aca="false">Z$3*$E124</f>
        <v>16.5183048818421</v>
      </c>
      <c r="AA124" s="185" t="n">
        <f aca="false">AA$3*$E124</f>
        <v>16.6132395880977</v>
      </c>
      <c r="AB124" s="185" t="n">
        <f aca="false">AB$3*$E124</f>
        <v>16.6719074468704</v>
      </c>
      <c r="AC124" s="185" t="n">
        <f aca="false">AC$3*$E124</f>
        <v>16.7079005235526</v>
      </c>
      <c r="AD124" s="219" t="n">
        <f aca="false">Algae_electricity_factor/H124</f>
        <v>0.00163965606102711</v>
      </c>
      <c r="AE124" s="220" t="n">
        <f aca="false">Algae_electricity_factor/I124</f>
        <v>0.00163965606102711</v>
      </c>
      <c r="AF124" s="220" t="n">
        <f aca="false">Algae_electricity_factor/J124</f>
        <v>0.00163965606102711</v>
      </c>
      <c r="AG124" s="220" t="n">
        <f aca="false">Algae_electricity_factor/K124</f>
        <v>0.00163965606102711</v>
      </c>
      <c r="AH124" s="220" t="n">
        <f aca="false">Algae_electricity_factor/L124</f>
        <v>0.00163965606102711</v>
      </c>
      <c r="AI124" s="220" t="n">
        <f aca="false">Algae_electricity_factor/M124</f>
        <v>0.0015654148928486</v>
      </c>
      <c r="AJ124" s="220" t="n">
        <f aca="false">Algae_electricity_factor/N124</f>
        <v>0.00152404479649422</v>
      </c>
      <c r="AK124" s="220" t="n">
        <f aca="false">Algae_electricity_factor/O124</f>
        <v>0.00146502124750056</v>
      </c>
      <c r="AL124" s="220" t="n">
        <f aca="false">Algae_electricity_factor/P124</f>
        <v>0.00138668865650742</v>
      </c>
      <c r="AM124" s="220" t="n">
        <f aca="false">Algae_electricity_factor/Q124</f>
        <v>0.00129214480149673</v>
      </c>
      <c r="AN124" s="220" t="n">
        <f aca="false">Algae_electricity_factor/R124</f>
        <v>0.00119027778864609</v>
      </c>
      <c r="AO124" s="220" t="n">
        <f aca="false">Algae_electricity_factor/S124</f>
        <v>0.00109310404068474</v>
      </c>
      <c r="AP124" s="220" t="n">
        <f aca="false">Algae_electricity_factor/T124</f>
        <v>0.00101059917465698</v>
      </c>
      <c r="AQ124" s="220" t="n">
        <f aca="false">Algae_electricity_factor/U124</f>
        <v>0.000947198483788325</v>
      </c>
      <c r="AR124" s="220" t="n">
        <f aca="false">Algae_electricity_factor/V124</f>
        <v>0.000902112173395433</v>
      </c>
      <c r="AS124" s="220" t="n">
        <f aca="false">Algae_electricity_factor/W124</f>
        <v>0.000871787860703171</v>
      </c>
      <c r="AT124" s="220" t="n">
        <f aca="false">Algae_electricity_factor/X124</f>
        <v>0.000852149277149028</v>
      </c>
      <c r="AU124" s="220" t="n">
        <f aca="false">Algae_electricity_factor/Y124</f>
        <v>0.000839740749661292</v>
      </c>
      <c r="AV124" s="220" t="n">
        <f aca="false">Algae_electricity_factor/Z124</f>
        <v>0.000832022244524437</v>
      </c>
      <c r="AW124" s="220" t="n">
        <f aca="false">Algae_electricity_factor/AA124</f>
        <v>0.000827267736111842</v>
      </c>
      <c r="AX124" s="220" t="n">
        <f aca="false">Algae_electricity_factor/AB124</f>
        <v>0.000824356609903637</v>
      </c>
      <c r="AY124" s="220" t="n">
        <f aca="false">Algae_electricity_factor/AC124</f>
        <v>0.000822580735631943</v>
      </c>
      <c r="AZ124" s="211" t="n">
        <f aca="false">Algae_yield_cost_factor/H124</f>
        <v>0.0907710116065638</v>
      </c>
      <c r="BA124" s="18" t="n">
        <f aca="false">Algae_yield_cost_factor/I124</f>
        <v>0.0907710116065638</v>
      </c>
      <c r="BB124" s="18" t="n">
        <f aca="false">Algae_yield_cost_factor/J124</f>
        <v>0.0907710116065638</v>
      </c>
      <c r="BC124" s="18" t="n">
        <f aca="false">Algae_yield_cost_factor/K124</f>
        <v>0.0907710116065638</v>
      </c>
      <c r="BD124" s="18" t="n">
        <f aca="false">Algae_yield_cost_factor/L124</f>
        <v>0.0907710116065638</v>
      </c>
      <c r="BE124" s="18" t="n">
        <f aca="false">Algae_yield_cost_factor/M124</f>
        <v>0.086661036290036</v>
      </c>
      <c r="BF124" s="18" t="n">
        <f aca="false">Algae_yield_cost_factor/N124</f>
        <v>0.084370796534513</v>
      </c>
      <c r="BG124" s="18" t="n">
        <f aca="false">Algae_yield_cost_factor/O124</f>
        <v>0.081103265386909</v>
      </c>
      <c r="BH124" s="18" t="n">
        <f aca="false">Algae_yield_cost_factor/P124</f>
        <v>0.0767667897715554</v>
      </c>
      <c r="BI124" s="18" t="n">
        <f aca="false">Algae_yield_cost_factor/Q124</f>
        <v>0.0715328620201901</v>
      </c>
      <c r="BJ124" s="18" t="n">
        <f aca="false">Algae_yield_cost_factor/R124</f>
        <v>0.065893525804765</v>
      </c>
      <c r="BK124" s="18" t="n">
        <f aca="false">Algae_yield_cost_factor/S124</f>
        <v>0.0605140077377092</v>
      </c>
      <c r="BL124" s="18" t="n">
        <f aca="false">Algae_yield_cost_factor/T124</f>
        <v>0.055946555861788</v>
      </c>
      <c r="BM124" s="18" t="n">
        <f aca="false">Algae_yield_cost_factor/U124</f>
        <v>0.0524367070688052</v>
      </c>
      <c r="BN124" s="18" t="n">
        <f aca="false">Algae_yield_cost_factor/V124</f>
        <v>0.049940738492684</v>
      </c>
      <c r="BO124" s="18" t="n">
        <f aca="false">Algae_yield_cost_factor/W124</f>
        <v>0.0482619909768018</v>
      </c>
      <c r="BP124" s="18" t="n">
        <f aca="false">Algae_yield_cost_factor/X124</f>
        <v>0.0471748031585146</v>
      </c>
      <c r="BQ124" s="18" t="n">
        <f aca="false">Algae_yield_cost_factor/Y124</f>
        <v>0.0464878697098594</v>
      </c>
      <c r="BR124" s="18" t="n">
        <f aca="false">Algae_yield_cost_factor/Z124</f>
        <v>0.0460605749033353</v>
      </c>
      <c r="BS124" s="18" t="n">
        <f aca="false">Algae_yield_cost_factor/AA124</f>
        <v>0.0457973663265116</v>
      </c>
      <c r="BT124" s="18" t="n">
        <f aca="false">Algae_yield_cost_factor/AB124</f>
        <v>0.0456362069973608</v>
      </c>
      <c r="BU124" s="18" t="n">
        <f aca="false">Algae_yield_cost_factor/AC124</f>
        <v>0.045537894974517</v>
      </c>
    </row>
    <row r="125" customFormat="false" ht="15" hidden="false" customHeight="false" outlineLevel="0" collapsed="false">
      <c r="A125" s="18" t="s">
        <v>708</v>
      </c>
      <c r="B125" s="18" t="s">
        <v>22</v>
      </c>
      <c r="C125" s="18" t="s">
        <v>685</v>
      </c>
      <c r="D125" s="18" t="s">
        <v>685</v>
      </c>
      <c r="E125" s="185" t="n">
        <v>8.01075</v>
      </c>
      <c r="F125" s="18" t="n">
        <f aca="false">E125/$B$2*$F$3/1000</f>
        <v>0.0196263375</v>
      </c>
      <c r="G125" s="18" t="n">
        <f aca="false">LOOKUP(RIGHT(D125,5),Ref!$C$4:$C$21,Ref!$E$4:$E$21)*$G$3</f>
        <v>4</v>
      </c>
      <c r="H125" s="222" t="n">
        <f aca="false">$E125</f>
        <v>8.01075</v>
      </c>
      <c r="I125" s="185" t="n">
        <f aca="false">$E125</f>
        <v>8.01075</v>
      </c>
      <c r="J125" s="185" t="n">
        <f aca="false">$E125</f>
        <v>8.01075</v>
      </c>
      <c r="K125" s="185" t="n">
        <f aca="false">$E125</f>
        <v>8.01075</v>
      </c>
      <c r="L125" s="185" t="n">
        <f aca="false">$E125</f>
        <v>8.01075</v>
      </c>
      <c r="M125" s="185" t="n">
        <f aca="false">M$3*$E125</f>
        <v>8.39066681355719</v>
      </c>
      <c r="N125" s="185" t="n">
        <f aca="false">N$3*$E125</f>
        <v>8.61843091560518</v>
      </c>
      <c r="O125" s="185" t="n">
        <f aca="false">O$3*$E125</f>
        <v>8.96565480758868</v>
      </c>
      <c r="P125" s="185" t="n">
        <f aca="false">P$3*$E125</f>
        <v>9.47211526483177</v>
      </c>
      <c r="Q125" s="185" t="n">
        <f aca="false">Q$3*$E125</f>
        <v>10.1651724912397</v>
      </c>
      <c r="R125" s="185" t="n">
        <f aca="false">R$3*$E125</f>
        <v>11.0351339125747</v>
      </c>
      <c r="S125" s="185" t="n">
        <f aca="false">S$3*$E125</f>
        <v>12.016125</v>
      </c>
      <c r="T125" s="185" t="n">
        <f aca="false">T$3*$E125</f>
        <v>12.9971160874253</v>
      </c>
      <c r="U125" s="185" t="n">
        <f aca="false">U$3*$E125</f>
        <v>13.8670775087603</v>
      </c>
      <c r="V125" s="185" t="n">
        <f aca="false">V$3*$E125</f>
        <v>14.5601347351682</v>
      </c>
      <c r="W125" s="185" t="n">
        <f aca="false">W$3*$E125</f>
        <v>15.0665951924113</v>
      </c>
      <c r="X125" s="185" t="n">
        <f aca="false">X$3*$E125</f>
        <v>15.4138190843948</v>
      </c>
      <c r="Y125" s="185" t="n">
        <f aca="false">Y$3*$E125</f>
        <v>15.6415831864428</v>
      </c>
      <c r="Z125" s="185" t="n">
        <f aca="false">Z$3*$E125</f>
        <v>15.7866870475086</v>
      </c>
      <c r="AA125" s="185" t="n">
        <f aca="false">AA$3*$E125</f>
        <v>15.8774169685462</v>
      </c>
      <c r="AB125" s="185" t="n">
        <f aca="false">AB$3*$E125</f>
        <v>15.933486349322</v>
      </c>
      <c r="AC125" s="185" t="n">
        <f aca="false">AC$3*$E125</f>
        <v>15.9678852444583</v>
      </c>
      <c r="AD125" s="219" t="n">
        <f aca="false">Algae_electricity_factor/H125</f>
        <v>0.00171564424099232</v>
      </c>
      <c r="AE125" s="220" t="n">
        <f aca="false">Algae_electricity_factor/I125</f>
        <v>0.00171564424099232</v>
      </c>
      <c r="AF125" s="220" t="n">
        <f aca="false">Algae_electricity_factor/J125</f>
        <v>0.00171564424099232</v>
      </c>
      <c r="AG125" s="220" t="n">
        <f aca="false">Algae_electricity_factor/K125</f>
        <v>0.00171564424099232</v>
      </c>
      <c r="AH125" s="220" t="n">
        <f aca="false">Algae_electricity_factor/L125</f>
        <v>0.00171564424099232</v>
      </c>
      <c r="AI125" s="220" t="n">
        <f aca="false">Algae_electricity_factor/M125</f>
        <v>0.00163796244195075</v>
      </c>
      <c r="AJ125" s="220" t="n">
        <f aca="false">Algae_electricity_factor/N125</f>
        <v>0.00159467509087345</v>
      </c>
      <c r="AK125" s="220" t="n">
        <f aca="false">Algae_electricity_factor/O125</f>
        <v>0.00153291615598411</v>
      </c>
      <c r="AL125" s="220" t="n">
        <f aca="false">Algae_electricity_factor/P125</f>
        <v>0.00145095332133011</v>
      </c>
      <c r="AM125" s="220" t="n">
        <f aca="false">Algae_electricity_factor/Q125</f>
        <v>0.00135202792823963</v>
      </c>
      <c r="AN125" s="220" t="n">
        <f aca="false">Algae_electricity_factor/R125</f>
        <v>0.00124543999306326</v>
      </c>
      <c r="AO125" s="220" t="n">
        <f aca="false">Algae_electricity_factor/S125</f>
        <v>0.00114376282732822</v>
      </c>
      <c r="AP125" s="220" t="n">
        <f aca="false">Algae_electricity_factor/T125</f>
        <v>0.00105743435782852</v>
      </c>
      <c r="AQ125" s="220" t="n">
        <f aca="false">Algae_electricity_factor/U125</f>
        <v>0.000991095426909308</v>
      </c>
      <c r="AR125" s="220" t="n">
        <f aca="false">Algae_electricity_factor/V125</f>
        <v>0.000943919637661956</v>
      </c>
      <c r="AS125" s="220" t="n">
        <f aca="false">Algae_electricity_factor/W125</f>
        <v>0.000912189975771804</v>
      </c>
      <c r="AT125" s="220" t="n">
        <f aca="false">Algae_electricity_factor/X125</f>
        <v>0.000891641262186831</v>
      </c>
      <c r="AU125" s="220" t="n">
        <f aca="false">Algae_electricity_factor/Y125</f>
        <v>0.000878657674207902</v>
      </c>
      <c r="AV125" s="220" t="n">
        <f aca="false">Algae_electricity_factor/Z125</f>
        <v>0.000870581462859761</v>
      </c>
      <c r="AW125" s="220" t="n">
        <f aca="false">Algae_electricity_factor/AA125</f>
        <v>0.000865606611626809</v>
      </c>
      <c r="AX125" s="220" t="n">
        <f aca="false">Algae_electricity_factor/AB125</f>
        <v>0.000862560572257565</v>
      </c>
      <c r="AY125" s="220" t="n">
        <f aca="false">Algae_electricity_factor/AC125</f>
        <v>0.000860702396912517</v>
      </c>
      <c r="AZ125" s="211" t="n">
        <f aca="false">Algae_yield_cost_factor/H125</f>
        <v>0.0949777011248906</v>
      </c>
      <c r="BA125" s="18" t="n">
        <f aca="false">Algae_yield_cost_factor/I125</f>
        <v>0.0949777011248906</v>
      </c>
      <c r="BB125" s="18" t="n">
        <f aca="false">Algae_yield_cost_factor/J125</f>
        <v>0.0949777011248906</v>
      </c>
      <c r="BC125" s="18" t="n">
        <f aca="false">Algae_yield_cost_factor/K125</f>
        <v>0.0949777011248906</v>
      </c>
      <c r="BD125" s="18" t="n">
        <f aca="false">Algae_yield_cost_factor/L125</f>
        <v>0.0949777011248906</v>
      </c>
      <c r="BE125" s="18" t="n">
        <f aca="false">Algae_yield_cost_factor/M125</f>
        <v>0.0906772532138791</v>
      </c>
      <c r="BF125" s="18" t="n">
        <f aca="false">Algae_yield_cost_factor/N125</f>
        <v>0.0882808746437335</v>
      </c>
      <c r="BG125" s="18" t="n">
        <f aca="false">Algae_yield_cost_factor/O125</f>
        <v>0.0848619131133878</v>
      </c>
      <c r="BH125" s="18" t="n">
        <f aca="false">Algae_yield_cost_factor/P125</f>
        <v>0.0803244679793</v>
      </c>
      <c r="BI125" s="18" t="n">
        <f aca="false">Algae_yield_cost_factor/Q125</f>
        <v>0.0748479792095913</v>
      </c>
      <c r="BJ125" s="18" t="n">
        <f aca="false">Algae_yield_cost_factor/R125</f>
        <v>0.0689472937359848</v>
      </c>
      <c r="BK125" s="18" t="n">
        <f aca="false">Algae_yield_cost_factor/S125</f>
        <v>0.0633184674165938</v>
      </c>
      <c r="BL125" s="18" t="n">
        <f aca="false">Algae_yield_cost_factor/T125</f>
        <v>0.0585393416638276</v>
      </c>
      <c r="BM125" s="18" t="n">
        <f aca="false">Algae_yield_cost_factor/U125</f>
        <v>0.054866832525135</v>
      </c>
      <c r="BN125" s="18" t="n">
        <f aca="false">Algae_yield_cost_factor/V125</f>
        <v>0.0522551908430143</v>
      </c>
      <c r="BO125" s="18" t="n">
        <f aca="false">Algae_yield_cost_factor/W125</f>
        <v>0.0504986434937494</v>
      </c>
      <c r="BP125" s="18" t="n">
        <f aca="false">Algae_yield_cost_factor/X125</f>
        <v>0.0493610710700832</v>
      </c>
      <c r="BQ125" s="18" t="n">
        <f aca="false">Algae_yield_cost_factor/Y125</f>
        <v>0.0486423023946624</v>
      </c>
      <c r="BR125" s="18" t="n">
        <f aca="false">Algae_yield_cost_factor/Z125</f>
        <v>0.048195205048186</v>
      </c>
      <c r="BS125" s="18" t="n">
        <f aca="false">Algae_yield_cost_factor/AA125</f>
        <v>0.0479197983395837</v>
      </c>
      <c r="BT125" s="18" t="n">
        <f aca="false">Algae_yield_cost_factor/AB125</f>
        <v>0.0477511702464661</v>
      </c>
      <c r="BU125" s="18" t="n">
        <f aca="false">Algae_yield_cost_factor/AC125</f>
        <v>0.0476483020536656</v>
      </c>
    </row>
    <row r="126" customFormat="false" ht="15" hidden="false" customHeight="false" outlineLevel="0" collapsed="false">
      <c r="A126" s="18" t="s">
        <v>708</v>
      </c>
      <c r="B126" s="18" t="s">
        <v>22</v>
      </c>
      <c r="C126" s="18" t="s">
        <v>686</v>
      </c>
      <c r="D126" s="18" t="s">
        <v>686</v>
      </c>
      <c r="E126" s="185" t="n">
        <v>8.07675</v>
      </c>
      <c r="F126" s="18" t="n">
        <f aca="false">E126/$B$2*$F$3/1000</f>
        <v>0.0197880375</v>
      </c>
      <c r="G126" s="18" t="n">
        <f aca="false">LOOKUP(RIGHT(D126,5),Ref!$C$4:$C$21,Ref!$E$4:$E$21)*$G$3</f>
        <v>4.5</v>
      </c>
      <c r="H126" s="222" t="n">
        <f aca="false">$E126</f>
        <v>8.07675</v>
      </c>
      <c r="I126" s="185" t="n">
        <f aca="false">$E126</f>
        <v>8.07675</v>
      </c>
      <c r="J126" s="185" t="n">
        <f aca="false">$E126</f>
        <v>8.07675</v>
      </c>
      <c r="K126" s="185" t="n">
        <f aca="false">$E126</f>
        <v>8.07675</v>
      </c>
      <c r="L126" s="185" t="n">
        <f aca="false">$E126</f>
        <v>8.07675</v>
      </c>
      <c r="M126" s="185" t="n">
        <f aca="false">M$3*$E126</f>
        <v>8.45979692118691</v>
      </c>
      <c r="N126" s="185" t="n">
        <f aca="false">N$3*$E126</f>
        <v>8.68943755548658</v>
      </c>
      <c r="O126" s="185" t="n">
        <f aca="false">O$3*$E126</f>
        <v>9.03952220044214</v>
      </c>
      <c r="P126" s="185" t="n">
        <f aca="false">P$3*$E126</f>
        <v>9.55015534940299</v>
      </c>
      <c r="Q126" s="185" t="n">
        <f aca="false">Q$3*$E126</f>
        <v>10.2489226250501</v>
      </c>
      <c r="R126" s="185" t="n">
        <f aca="false">R$3*$E126</f>
        <v>11.1260515967154</v>
      </c>
      <c r="S126" s="185" t="n">
        <f aca="false">S$3*$E126</f>
        <v>12.115125</v>
      </c>
      <c r="T126" s="185" t="n">
        <f aca="false">T$3*$E126</f>
        <v>13.1041984032846</v>
      </c>
      <c r="U126" s="185" t="n">
        <f aca="false">U$3*$E126</f>
        <v>13.9813273749499</v>
      </c>
      <c r="V126" s="185" t="n">
        <f aca="false">V$3*$E126</f>
        <v>14.680094650597</v>
      </c>
      <c r="W126" s="185" t="n">
        <f aca="false">W$3*$E126</f>
        <v>15.1907277995579</v>
      </c>
      <c r="X126" s="185" t="n">
        <f aca="false">X$3*$E126</f>
        <v>15.5408124445134</v>
      </c>
      <c r="Y126" s="185" t="n">
        <f aca="false">Y$3*$E126</f>
        <v>15.7704530788131</v>
      </c>
      <c r="Z126" s="185" t="n">
        <f aca="false">Z$3*$E126</f>
        <v>15.916752440279</v>
      </c>
      <c r="AA126" s="185" t="n">
        <f aca="false">AA$3*$E126</f>
        <v>16.0082298786887</v>
      </c>
      <c r="AB126" s="185" t="n">
        <f aca="false">AB$3*$E126</f>
        <v>16.0647612111084</v>
      </c>
      <c r="AC126" s="185" t="n">
        <f aca="false">AC$3*$E126</f>
        <v>16.0994435162973</v>
      </c>
      <c r="AD126" s="219" t="n">
        <f aca="false">Algae_electricity_factor/H126</f>
        <v>0.00170162467620383</v>
      </c>
      <c r="AE126" s="220" t="n">
        <f aca="false">Algae_electricity_factor/I126</f>
        <v>0.00170162467620383</v>
      </c>
      <c r="AF126" s="220" t="n">
        <f aca="false">Algae_electricity_factor/J126</f>
        <v>0.00170162467620383</v>
      </c>
      <c r="AG126" s="220" t="n">
        <f aca="false">Algae_electricity_factor/K126</f>
        <v>0.00170162467620383</v>
      </c>
      <c r="AH126" s="220" t="n">
        <f aca="false">Algae_electricity_factor/L126</f>
        <v>0.00170162467620383</v>
      </c>
      <c r="AI126" s="220" t="n">
        <f aca="false">Algae_electricity_factor/M126</f>
        <v>0.00162457766203695</v>
      </c>
      <c r="AJ126" s="220" t="n">
        <f aca="false">Algae_electricity_factor/N126</f>
        <v>0.0015816440380369</v>
      </c>
      <c r="AK126" s="220" t="n">
        <f aca="false">Algae_electricity_factor/O126</f>
        <v>0.00152038977268699</v>
      </c>
      <c r="AL126" s="220" t="n">
        <f aca="false">Algae_electricity_factor/P126</f>
        <v>0.00143909670583405</v>
      </c>
      <c r="AM126" s="220" t="n">
        <f aca="false">Algae_electricity_factor/Q126</f>
        <v>0.00134097969184952</v>
      </c>
      <c r="AN126" s="220" t="n">
        <f aca="false">Algae_electricity_factor/R126</f>
        <v>0.00123526275103619</v>
      </c>
      <c r="AO126" s="220" t="n">
        <f aca="false">Algae_electricity_factor/S126</f>
        <v>0.00113441645080255</v>
      </c>
      <c r="AP126" s="220" t="n">
        <f aca="false">Algae_electricity_factor/T126</f>
        <v>0.00104879342334167</v>
      </c>
      <c r="AQ126" s="220" t="n">
        <f aca="false">Algae_electricity_factor/U126</f>
        <v>0.000982996587874298</v>
      </c>
      <c r="AR126" s="220" t="n">
        <f aca="false">Algae_electricity_factor/V126</f>
        <v>0.000936206300479836</v>
      </c>
      <c r="AS126" s="220" t="n">
        <f aca="false">Algae_electricity_factor/W126</f>
        <v>0.000904735920811462</v>
      </c>
      <c r="AT126" s="220" t="n">
        <f aca="false">Algae_electricity_factor/X126</f>
        <v>0.000884355123169982</v>
      </c>
      <c r="AU126" s="220" t="n">
        <f aca="false">Algae_electricity_factor/Y126</f>
        <v>0.000871477631926325</v>
      </c>
      <c r="AV126" s="220" t="n">
        <f aca="false">Algae_electricity_factor/Z126</f>
        <v>0.000863467416176535</v>
      </c>
      <c r="AW126" s="220" t="n">
        <f aca="false">Algae_electricity_factor/AA126</f>
        <v>0.000858533217456212</v>
      </c>
      <c r="AX126" s="220" t="n">
        <f aca="false">Algae_electricity_factor/AB126</f>
        <v>0.000855512069113478</v>
      </c>
      <c r="AY126" s="220" t="n">
        <f aca="false">Algae_electricity_factor/AC126</f>
        <v>0.000853669078040913</v>
      </c>
      <c r="AZ126" s="211" t="n">
        <f aca="false">Algae_yield_cost_factor/H126</f>
        <v>0.0942015809931244</v>
      </c>
      <c r="BA126" s="18" t="n">
        <f aca="false">Algae_yield_cost_factor/I126</f>
        <v>0.0942015809931244</v>
      </c>
      <c r="BB126" s="18" t="n">
        <f aca="false">Algae_yield_cost_factor/J126</f>
        <v>0.0942015809931244</v>
      </c>
      <c r="BC126" s="18" t="n">
        <f aca="false">Algae_yield_cost_factor/K126</f>
        <v>0.0942015809931244</v>
      </c>
      <c r="BD126" s="18" t="n">
        <f aca="false">Algae_yield_cost_factor/L126</f>
        <v>0.0942015809931244</v>
      </c>
      <c r="BE126" s="18" t="n">
        <f aca="false">Algae_yield_cost_factor/M126</f>
        <v>0.0899362746380762</v>
      </c>
      <c r="BF126" s="18" t="n">
        <f aca="false">Algae_yield_cost_factor/N126</f>
        <v>0.0875594783238664</v>
      </c>
      <c r="BG126" s="18" t="n">
        <f aca="false">Algae_yield_cost_factor/O126</f>
        <v>0.0841684551921343</v>
      </c>
      <c r="BH126" s="18" t="n">
        <f aca="false">Algae_yield_cost_factor/P126</f>
        <v>0.0796680882613894</v>
      </c>
      <c r="BI126" s="18" t="n">
        <f aca="false">Algae_yield_cost_factor/Q126</f>
        <v>0.0742363511874496</v>
      </c>
      <c r="BJ126" s="18" t="n">
        <f aca="false">Algae_yield_cost_factor/R126</f>
        <v>0.0683838837769573</v>
      </c>
      <c r="BK126" s="18" t="n">
        <f aca="false">Algae_yield_cost_factor/S126</f>
        <v>0.0628010539954163</v>
      </c>
      <c r="BL126" s="18" t="n">
        <f aca="false">Algae_yield_cost_factor/T126</f>
        <v>0.0580609813642254</v>
      </c>
      <c r="BM126" s="18" t="n">
        <f aca="false">Algae_yield_cost_factor/U126</f>
        <v>0.0544184825147151</v>
      </c>
      <c r="BN126" s="18" t="n">
        <f aca="false">Algae_yield_cost_factor/V126</f>
        <v>0.0518281821333676</v>
      </c>
      <c r="BO126" s="18" t="n">
        <f aca="false">Algae_yield_cost_factor/W126</f>
        <v>0.0500859885928812</v>
      </c>
      <c r="BP126" s="18" t="n">
        <f aca="false">Algae_yield_cost_factor/X126</f>
        <v>0.0489577119602153</v>
      </c>
      <c r="BQ126" s="18" t="n">
        <f aca="false">Algae_yield_cost_factor/Y126</f>
        <v>0.0482448167775456</v>
      </c>
      <c r="BR126" s="18" t="n">
        <f aca="false">Algae_yield_cost_factor/Z126</f>
        <v>0.0478013729333898</v>
      </c>
      <c r="BS126" s="18" t="n">
        <f aca="false">Algae_yield_cost_factor/AA126</f>
        <v>0.0475282167392603</v>
      </c>
      <c r="BT126" s="18" t="n">
        <f aca="false">Algae_yield_cost_factor/AB126</f>
        <v>0.0473609666080885</v>
      </c>
      <c r="BU126" s="18" t="n">
        <f aca="false">Algae_yield_cost_factor/AC126</f>
        <v>0.0472589390133905</v>
      </c>
    </row>
    <row r="127" customFormat="false" ht="15" hidden="false" customHeight="false" outlineLevel="0" collapsed="false">
      <c r="A127" s="18" t="s">
        <v>708</v>
      </c>
      <c r="B127" s="18" t="s">
        <v>22</v>
      </c>
      <c r="C127" s="18" t="s">
        <v>687</v>
      </c>
      <c r="D127" s="18" t="s">
        <v>687</v>
      </c>
      <c r="E127" s="185" t="n">
        <v>8.415</v>
      </c>
      <c r="F127" s="18" t="n">
        <f aca="false">E127/$B$2*$F$3/1000</f>
        <v>0.02061675</v>
      </c>
      <c r="G127" s="18" t="n">
        <f aca="false">LOOKUP(RIGHT(D127,5),Ref!$C$4:$C$21,Ref!$E$4:$E$21)*$G$3</f>
        <v>4.5</v>
      </c>
      <c r="H127" s="222" t="n">
        <f aca="false">$E127</f>
        <v>8.415</v>
      </c>
      <c r="I127" s="185" t="n">
        <f aca="false">$E127</f>
        <v>8.415</v>
      </c>
      <c r="J127" s="185" t="n">
        <f aca="false">$E127</f>
        <v>8.415</v>
      </c>
      <c r="K127" s="185" t="n">
        <f aca="false">$E127</f>
        <v>8.415</v>
      </c>
      <c r="L127" s="185" t="n">
        <f aca="false">$E127</f>
        <v>8.415</v>
      </c>
      <c r="M127" s="185" t="n">
        <f aca="false">M$3*$E127</f>
        <v>8.81408872278923</v>
      </c>
      <c r="N127" s="185" t="n">
        <f aca="false">N$3*$E127</f>
        <v>9.05334658487877</v>
      </c>
      <c r="O127" s="185" t="n">
        <f aca="false">O$3*$E127</f>
        <v>9.41809258881612</v>
      </c>
      <c r="P127" s="185" t="n">
        <f aca="false">P$3*$E127</f>
        <v>9.95011078283049</v>
      </c>
      <c r="Q127" s="185" t="n">
        <f aca="false">Q$3*$E127</f>
        <v>10.6781420608285</v>
      </c>
      <c r="R127" s="185" t="n">
        <f aca="false">R$3*$E127</f>
        <v>11.5920047279364</v>
      </c>
      <c r="S127" s="185" t="n">
        <f aca="false">S$3*$E127</f>
        <v>12.6225</v>
      </c>
      <c r="T127" s="185" t="n">
        <f aca="false">T$3*$E127</f>
        <v>13.6529952720636</v>
      </c>
      <c r="U127" s="185" t="n">
        <f aca="false">U$3*$E127</f>
        <v>14.5668579391715</v>
      </c>
      <c r="V127" s="185" t="n">
        <f aca="false">V$3*$E127</f>
        <v>15.2948892171695</v>
      </c>
      <c r="W127" s="185" t="n">
        <f aca="false">W$3*$E127</f>
        <v>15.8269074111839</v>
      </c>
      <c r="X127" s="185" t="n">
        <f aca="false">X$3*$E127</f>
        <v>16.1916534151212</v>
      </c>
      <c r="Y127" s="185" t="n">
        <f aca="false">Y$3*$E127</f>
        <v>16.4309112772108</v>
      </c>
      <c r="Z127" s="185" t="n">
        <f aca="false">Z$3*$E127</f>
        <v>16.5833375782273</v>
      </c>
      <c r="AA127" s="185" t="n">
        <f aca="false">AA$3*$E127</f>
        <v>16.678646043169</v>
      </c>
      <c r="AB127" s="185" t="n">
        <f aca="false">AB$3*$E127</f>
        <v>16.7375448777636</v>
      </c>
      <c r="AC127" s="185" t="n">
        <f aca="false">AC$3*$E127</f>
        <v>16.7736796594721</v>
      </c>
      <c r="AD127" s="219" t="n">
        <f aca="false">Algae_electricity_factor/H127</f>
        <v>0.00163322603725838</v>
      </c>
      <c r="AE127" s="220" t="n">
        <f aca="false">Algae_electricity_factor/I127</f>
        <v>0.00163322603725838</v>
      </c>
      <c r="AF127" s="220" t="n">
        <f aca="false">Algae_electricity_factor/J127</f>
        <v>0.00163322603725838</v>
      </c>
      <c r="AG127" s="220" t="n">
        <f aca="false">Algae_electricity_factor/K127</f>
        <v>0.00163322603725838</v>
      </c>
      <c r="AH127" s="220" t="n">
        <f aca="false">Algae_electricity_factor/L127</f>
        <v>0.00163322603725838</v>
      </c>
      <c r="AI127" s="220" t="n">
        <f aca="false">Algae_electricity_factor/M127</f>
        <v>0.00155927601091586</v>
      </c>
      <c r="AJ127" s="220" t="n">
        <f aca="false">Algae_electricity_factor/N127</f>
        <v>0.00151806815023345</v>
      </c>
      <c r="AK127" s="220" t="n">
        <f aca="false">Algae_electricity_factor/O127</f>
        <v>0.00145927606613781</v>
      </c>
      <c r="AL127" s="220" t="n">
        <f aca="false">Algae_electricity_factor/P127</f>
        <v>0.00138125066177601</v>
      </c>
      <c r="AM127" s="220" t="n">
        <f aca="false">Algae_electricity_factor/Q127</f>
        <v>0.00128707756698106</v>
      </c>
      <c r="AN127" s="220" t="n">
        <f aca="false">Algae_electricity_factor/R127</f>
        <v>0.00118561003261218</v>
      </c>
      <c r="AO127" s="220" t="n">
        <f aca="false">Algae_electricity_factor/S127</f>
        <v>0.00108881735817225</v>
      </c>
      <c r="AP127" s="220" t="n">
        <f aca="false">Algae_electricity_factor/T127</f>
        <v>0.00100663604063872</v>
      </c>
      <c r="AQ127" s="220" t="n">
        <f aca="false">Algae_electricity_factor/U127</f>
        <v>0.000943483979930331</v>
      </c>
      <c r="AR127" s="220" t="n">
        <f aca="false">Algae_electricity_factor/V127</f>
        <v>0.000898574478597803</v>
      </c>
      <c r="AS127" s="220" t="n">
        <f aca="false">Algae_electricity_factor/W127</f>
        <v>0.000868369084778845</v>
      </c>
      <c r="AT127" s="220" t="n">
        <f aca="false">Algae_electricity_factor/X127</f>
        <v>0.000848807515277855</v>
      </c>
      <c r="AU127" s="220" t="n">
        <f aca="false">Algae_electricity_factor/Y127</f>
        <v>0.000836447648682228</v>
      </c>
      <c r="AV127" s="220" t="n">
        <f aca="false">Algae_electricity_factor/Z127</f>
        <v>0.000828759412192969</v>
      </c>
      <c r="AW127" s="220" t="n">
        <f aca="false">Algae_electricity_factor/AA127</f>
        <v>0.000824023548911404</v>
      </c>
      <c r="AX127" s="220" t="n">
        <f aca="false">Algae_electricity_factor/AB127</f>
        <v>0.000821123838884407</v>
      </c>
      <c r="AY127" s="220" t="n">
        <f aca="false">Algae_electricity_factor/AC127</f>
        <v>0.000819354928825543</v>
      </c>
      <c r="AZ127" s="211" t="n">
        <f aca="false">Algae_yield_cost_factor/H127</f>
        <v>0.0904150468551655</v>
      </c>
      <c r="BA127" s="18" t="n">
        <f aca="false">Algae_yield_cost_factor/I127</f>
        <v>0.0904150468551655</v>
      </c>
      <c r="BB127" s="18" t="n">
        <f aca="false">Algae_yield_cost_factor/J127</f>
        <v>0.0904150468551655</v>
      </c>
      <c r="BC127" s="18" t="n">
        <f aca="false">Algae_yield_cost_factor/K127</f>
        <v>0.0904150468551655</v>
      </c>
      <c r="BD127" s="18" t="n">
        <f aca="false">Algae_yield_cost_factor/L127</f>
        <v>0.0904150468551655</v>
      </c>
      <c r="BE127" s="18" t="n">
        <f aca="false">Algae_yield_cost_factor/M127</f>
        <v>0.0863211890888986</v>
      </c>
      <c r="BF127" s="18" t="n">
        <f aca="false">Algae_yield_cost_factor/N127</f>
        <v>0.0840399306657502</v>
      </c>
      <c r="BG127" s="18" t="n">
        <f aca="false">Algae_yield_cost_factor/O127</f>
        <v>0.0807852133657838</v>
      </c>
      <c r="BH127" s="18" t="n">
        <f aca="false">Algae_yield_cost_factor/P127</f>
        <v>0.0764657435371571</v>
      </c>
      <c r="BI127" s="18" t="n">
        <f aca="false">Algae_yield_cost_factor/Q127</f>
        <v>0.07125234099266</v>
      </c>
      <c r="BJ127" s="18" t="n">
        <f aca="false">Algae_yield_cost_factor/R127</f>
        <v>0.0656351198212169</v>
      </c>
      <c r="BK127" s="18" t="n">
        <f aca="false">Algae_yield_cost_factor/S127</f>
        <v>0.0602766979034437</v>
      </c>
      <c r="BL127" s="18" t="n">
        <f aca="false">Algae_yield_cost_factor/T127</f>
        <v>0.0557271576035065</v>
      </c>
      <c r="BM127" s="18" t="n">
        <f aca="false">Algae_yield_cost_factor/U127</f>
        <v>0.0522310729234373</v>
      </c>
      <c r="BN127" s="18" t="n">
        <f aca="false">Algae_yield_cost_factor/V127</f>
        <v>0.0497448924593793</v>
      </c>
      <c r="BO127" s="18" t="n">
        <f aca="false">Algae_yield_cost_factor/W127</f>
        <v>0.0480727282670889</v>
      </c>
      <c r="BP127" s="18" t="n">
        <f aca="false">Algae_yield_cost_factor/X127</f>
        <v>0.046989803930442</v>
      </c>
      <c r="BQ127" s="18" t="n">
        <f aca="false">Algae_yield_cost_factor/Y127</f>
        <v>0.0463055643384482</v>
      </c>
      <c r="BR127" s="18" t="n">
        <f aca="false">Algae_yield_cost_factor/Z127</f>
        <v>0.045879945197832</v>
      </c>
      <c r="BS127" s="18" t="n">
        <f aca="false">Algae_yield_cost_factor/AA127</f>
        <v>0.0456177688115057</v>
      </c>
      <c r="BT127" s="18" t="n">
        <f aca="false">Algae_yield_cost_factor/AB127</f>
        <v>0.0454572414797241</v>
      </c>
      <c r="BU127" s="18" t="n">
        <f aca="false">Algae_yield_cost_factor/AC127</f>
        <v>0.0453593149942248</v>
      </c>
    </row>
    <row r="128" customFormat="false" ht="15" hidden="false" customHeight="false" outlineLevel="0" collapsed="false">
      <c r="A128" s="18" t="s">
        <v>708</v>
      </c>
      <c r="B128" s="18" t="s">
        <v>22</v>
      </c>
      <c r="C128" s="18" t="s">
        <v>688</v>
      </c>
      <c r="D128" s="18" t="s">
        <v>688</v>
      </c>
      <c r="E128" s="185" t="n">
        <v>8.37375</v>
      </c>
      <c r="F128" s="18" t="n">
        <f aca="false">E128/$B$2*$F$3/1000</f>
        <v>0.0205156875</v>
      </c>
      <c r="G128" s="18" t="n">
        <f aca="false">LOOKUP(RIGHT(D128,5),Ref!$C$4:$C$21,Ref!$E$4:$E$21)*$G$3</f>
        <v>4.5</v>
      </c>
      <c r="H128" s="222" t="n">
        <f aca="false">$E128</f>
        <v>8.37375</v>
      </c>
      <c r="I128" s="185" t="n">
        <f aca="false">$E128</f>
        <v>8.37375</v>
      </c>
      <c r="J128" s="185" t="n">
        <f aca="false">$E128</f>
        <v>8.37375</v>
      </c>
      <c r="K128" s="185" t="n">
        <f aca="false">$E128</f>
        <v>8.37375</v>
      </c>
      <c r="L128" s="185" t="n">
        <f aca="false">$E128</f>
        <v>8.37375</v>
      </c>
      <c r="M128" s="185" t="n">
        <f aca="false">M$3*$E128</f>
        <v>8.77088240552065</v>
      </c>
      <c r="N128" s="185" t="n">
        <f aca="false">N$3*$E128</f>
        <v>9.00896743495289</v>
      </c>
      <c r="O128" s="185" t="n">
        <f aca="false">O$3*$E128</f>
        <v>9.37192546828271</v>
      </c>
      <c r="P128" s="185" t="n">
        <f aca="false">P$3*$E128</f>
        <v>9.90133572997348</v>
      </c>
      <c r="Q128" s="185" t="n">
        <f aca="false">Q$3*$E128</f>
        <v>10.625798227197</v>
      </c>
      <c r="R128" s="185" t="n">
        <f aca="false">R$3*$E128</f>
        <v>11.5351811753485</v>
      </c>
      <c r="S128" s="185" t="n">
        <f aca="false">S$3*$E128</f>
        <v>12.560625</v>
      </c>
      <c r="T128" s="185" t="n">
        <f aca="false">T$3*$E128</f>
        <v>13.5860688246515</v>
      </c>
      <c r="U128" s="185" t="n">
        <f aca="false">U$3*$E128</f>
        <v>14.495451772803</v>
      </c>
      <c r="V128" s="185" t="n">
        <f aca="false">V$3*$E128</f>
        <v>15.2199142700265</v>
      </c>
      <c r="W128" s="185" t="n">
        <f aca="false">W$3*$E128</f>
        <v>15.7493245317173</v>
      </c>
      <c r="X128" s="185" t="n">
        <f aca="false">X$3*$E128</f>
        <v>16.1122825650471</v>
      </c>
      <c r="Y128" s="185" t="n">
        <f aca="false">Y$3*$E128</f>
        <v>16.3503675944793</v>
      </c>
      <c r="Z128" s="185" t="n">
        <f aca="false">Z$3*$E128</f>
        <v>16.5020467077458</v>
      </c>
      <c r="AA128" s="185" t="n">
        <f aca="false">AA$3*$E128</f>
        <v>16.5968879743299</v>
      </c>
      <c r="AB128" s="185" t="n">
        <f aca="false">AB$3*$E128</f>
        <v>16.6554980891471</v>
      </c>
      <c r="AC128" s="185" t="n">
        <f aca="false">AC$3*$E128</f>
        <v>16.6914557395728</v>
      </c>
      <c r="AD128" s="219" t="n">
        <f aca="false">Algae_electricity_factor/H128</f>
        <v>0.00164127148571778</v>
      </c>
      <c r="AE128" s="220" t="n">
        <f aca="false">Algae_electricity_factor/I128</f>
        <v>0.00164127148571778</v>
      </c>
      <c r="AF128" s="220" t="n">
        <f aca="false">Algae_electricity_factor/J128</f>
        <v>0.00164127148571778</v>
      </c>
      <c r="AG128" s="220" t="n">
        <f aca="false">Algae_electricity_factor/K128</f>
        <v>0.00164127148571778</v>
      </c>
      <c r="AH128" s="220" t="n">
        <f aca="false">Algae_electricity_factor/L128</f>
        <v>0.00164127148571778</v>
      </c>
      <c r="AI128" s="220" t="n">
        <f aca="false">Algae_electricity_factor/M128</f>
        <v>0.00156695717353121</v>
      </c>
      <c r="AJ128" s="220" t="n">
        <f aca="false">Algae_electricity_factor/N128</f>
        <v>0.0015255463184612</v>
      </c>
      <c r="AK128" s="220" t="n">
        <f aca="false">Algae_electricity_factor/O128</f>
        <v>0.00146646461818775</v>
      </c>
      <c r="AL128" s="220" t="n">
        <f aca="false">Algae_electricity_factor/P128</f>
        <v>0.00138805485222811</v>
      </c>
      <c r="AM128" s="220" t="n">
        <f aca="false">Algae_electricity_factor/Q128</f>
        <v>0.00129341785056225</v>
      </c>
      <c r="AN128" s="220" t="n">
        <f aca="false">Algae_electricity_factor/R128</f>
        <v>0.00119145047612259</v>
      </c>
      <c r="AO128" s="220" t="n">
        <f aca="false">Algae_electricity_factor/S128</f>
        <v>0.00109418099047852</v>
      </c>
      <c r="AP128" s="220" t="n">
        <f aca="false">Algae_electricity_factor/T128</f>
        <v>0.00101159483886847</v>
      </c>
      <c r="AQ128" s="220" t="n">
        <f aca="false">Algae_electricity_factor/U128</f>
        <v>0.000948131684264963</v>
      </c>
      <c r="AR128" s="220" t="n">
        <f aca="false">Algae_electricity_factor/V128</f>
        <v>0.000903000953861832</v>
      </c>
      <c r="AS128" s="220" t="n">
        <f aca="false">Algae_electricity_factor/W128</f>
        <v>0.00087264676499943</v>
      </c>
      <c r="AT128" s="220" t="n">
        <f aca="false">Algae_electricity_factor/X128</f>
        <v>0.000852988833087106</v>
      </c>
      <c r="AU128" s="220" t="n">
        <f aca="false">Algae_electricity_factor/Y128</f>
        <v>0.000840568080449136</v>
      </c>
      <c r="AV128" s="220" t="n">
        <f aca="false">Algae_electricity_factor/Z128</f>
        <v>0.000832841970873722</v>
      </c>
      <c r="AW128" s="220" t="n">
        <f aca="false">Algae_electricity_factor/AA128</f>
        <v>0.000828082778216386</v>
      </c>
      <c r="AX128" s="220" t="n">
        <f aca="false">Algae_electricity_factor/AB128</f>
        <v>0.000825168783903542</v>
      </c>
      <c r="AY128" s="220" t="n">
        <f aca="false">Algae_electricity_factor/AC128</f>
        <v>0.000823391160002024</v>
      </c>
      <c r="AZ128" s="211" t="n">
        <f aca="false">Algae_yield_cost_factor/H128</f>
        <v>0.0908604411746491</v>
      </c>
      <c r="BA128" s="18" t="n">
        <f aca="false">Algae_yield_cost_factor/I128</f>
        <v>0.0908604411746491</v>
      </c>
      <c r="BB128" s="18" t="n">
        <f aca="false">Algae_yield_cost_factor/J128</f>
        <v>0.0908604411746491</v>
      </c>
      <c r="BC128" s="18" t="n">
        <f aca="false">Algae_yield_cost_factor/K128</f>
        <v>0.0908604411746491</v>
      </c>
      <c r="BD128" s="18" t="n">
        <f aca="false">Algae_yield_cost_factor/L128</f>
        <v>0.0908604411746491</v>
      </c>
      <c r="BE128" s="18" t="n">
        <f aca="false">Algae_yield_cost_factor/M128</f>
        <v>0.0867464166213563</v>
      </c>
      <c r="BF128" s="18" t="n">
        <f aca="false">Algae_yield_cost_factor/N128</f>
        <v>0.0844539204719854</v>
      </c>
      <c r="BG128" s="18" t="n">
        <f aca="false">Algae_yield_cost_factor/O128</f>
        <v>0.0811831700818715</v>
      </c>
      <c r="BH128" s="18" t="n">
        <f aca="false">Algae_yield_cost_factor/P128</f>
        <v>0.076842422076749</v>
      </c>
      <c r="BI128" s="18" t="n">
        <f aca="false">Algae_yield_cost_factor/Q128</f>
        <v>0.0716033377463184</v>
      </c>
      <c r="BJ128" s="18" t="n">
        <f aca="false">Algae_yield_cost_factor/R128</f>
        <v>0.0659584455346219</v>
      </c>
      <c r="BK128" s="18" t="n">
        <f aca="false">Algae_yield_cost_factor/S128</f>
        <v>0.0605736274497661</v>
      </c>
      <c r="BL128" s="18" t="n">
        <f aca="false">Algae_yield_cost_factor/T128</f>
        <v>0.0560016756212578</v>
      </c>
      <c r="BM128" s="18" t="n">
        <f aca="false">Algae_yield_cost_factor/U128</f>
        <v>0.0524883688491685</v>
      </c>
      <c r="BN128" s="18" t="n">
        <f aca="false">Algae_yield_cost_factor/V128</f>
        <v>0.0499899411907063</v>
      </c>
      <c r="BO128" s="18" t="n">
        <f aca="false">Algae_yield_cost_factor/W128</f>
        <v>0.0483095397363849</v>
      </c>
      <c r="BP128" s="18" t="n">
        <f aca="false">Algae_yield_cost_factor/X128</f>
        <v>0.0472212807970944</v>
      </c>
      <c r="BQ128" s="18" t="n">
        <f aca="false">Algae_yield_cost_factor/Y128</f>
        <v>0.0465336705667164</v>
      </c>
      <c r="BR128" s="18" t="n">
        <f aca="false">Algae_yield_cost_factor/Z128</f>
        <v>0.0461059547800873</v>
      </c>
      <c r="BS128" s="18" t="n">
        <f aca="false">Algae_yield_cost_factor/AA128</f>
        <v>0.0458424868844688</v>
      </c>
      <c r="BT128" s="18" t="n">
        <f aca="false">Algae_yield_cost_factor/AB128</f>
        <v>0.0456811687776538</v>
      </c>
      <c r="BU128" s="18" t="n">
        <f aca="false">Algae_yield_cost_factor/AC128</f>
        <v>0.0455827598956742</v>
      </c>
    </row>
    <row r="129" customFormat="false" ht="15" hidden="false" customHeight="false" outlineLevel="0" collapsed="false">
      <c r="A129" s="18" t="s">
        <v>709</v>
      </c>
      <c r="B129" s="18" t="s">
        <v>22</v>
      </c>
      <c r="C129" s="18" t="s">
        <v>693</v>
      </c>
      <c r="D129" s="18" t="s">
        <v>693</v>
      </c>
      <c r="E129" s="185" t="n">
        <v>7.68075</v>
      </c>
      <c r="F129" s="18" t="n">
        <f aca="false">E129/$B$2*$F$3/1000</f>
        <v>0.0188178375</v>
      </c>
      <c r="G129" s="18" t="n">
        <f aca="false">LOOKUP(RIGHT(D129,5),Ref!$C$4:$C$21,Ref!$E$4:$E$21)*$G$3</f>
        <v>3</v>
      </c>
      <c r="H129" s="222" t="n">
        <f aca="false">$E129</f>
        <v>7.68075</v>
      </c>
      <c r="I129" s="185" t="n">
        <f aca="false">$E129</f>
        <v>7.68075</v>
      </c>
      <c r="J129" s="185" t="n">
        <f aca="false">$E129</f>
        <v>7.68075</v>
      </c>
      <c r="K129" s="185" t="n">
        <f aca="false">$E129</f>
        <v>7.68075</v>
      </c>
      <c r="L129" s="185" t="n">
        <f aca="false">$E129</f>
        <v>7.68075</v>
      </c>
      <c r="M129" s="185" t="n">
        <f aca="false">M$3*$E129</f>
        <v>8.0450162754086</v>
      </c>
      <c r="N129" s="185" t="n">
        <f aca="false">N$3*$E129</f>
        <v>8.26339771619817</v>
      </c>
      <c r="O129" s="185" t="n">
        <f aca="false">O$3*$E129</f>
        <v>8.59631784332138</v>
      </c>
      <c r="P129" s="185" t="n">
        <f aca="false">P$3*$E129</f>
        <v>9.08191484197567</v>
      </c>
      <c r="Q129" s="185" t="n">
        <f aca="false">Q$3*$E129</f>
        <v>9.74642182218759</v>
      </c>
      <c r="R129" s="185" t="n">
        <f aca="false">R$3*$E129</f>
        <v>10.5805454918714</v>
      </c>
      <c r="S129" s="185" t="n">
        <f aca="false">S$3*$E129</f>
        <v>11.521125</v>
      </c>
      <c r="T129" s="185" t="n">
        <f aca="false">T$3*$E129</f>
        <v>12.4617045081286</v>
      </c>
      <c r="U129" s="185" t="n">
        <f aca="false">U$3*$E129</f>
        <v>13.2958281778124</v>
      </c>
      <c r="V129" s="185" t="n">
        <f aca="false">V$3*$E129</f>
        <v>13.9603351580243</v>
      </c>
      <c r="W129" s="185" t="n">
        <f aca="false">W$3*$E129</f>
        <v>14.4459321566786</v>
      </c>
      <c r="X129" s="185" t="n">
        <f aca="false">X$3*$E129</f>
        <v>14.7788522838018</v>
      </c>
      <c r="Y129" s="185" t="n">
        <f aca="false">Y$3*$E129</f>
        <v>14.9972337245914</v>
      </c>
      <c r="Z129" s="185" t="n">
        <f aca="false">Z$3*$E129</f>
        <v>15.1363600836565</v>
      </c>
      <c r="AA129" s="185" t="n">
        <f aca="false">AA$3*$E129</f>
        <v>15.2233524178337</v>
      </c>
      <c r="AB129" s="185" t="n">
        <f aca="false">AB$3*$E129</f>
        <v>15.2771120403901</v>
      </c>
      <c r="AC129" s="185" t="n">
        <f aca="false">AC$3*$E129</f>
        <v>15.3100938852633</v>
      </c>
      <c r="AD129" s="219" t="n">
        <f aca="false">Algae_electricity_factor/H129</f>
        <v>0.0017893561310457</v>
      </c>
      <c r="AE129" s="220" t="n">
        <f aca="false">Algae_electricity_factor/I129</f>
        <v>0.0017893561310457</v>
      </c>
      <c r="AF129" s="220" t="n">
        <f aca="false">Algae_electricity_factor/J129</f>
        <v>0.0017893561310457</v>
      </c>
      <c r="AG129" s="220" t="n">
        <f aca="false">Algae_electricity_factor/K129</f>
        <v>0.0017893561310457</v>
      </c>
      <c r="AH129" s="220" t="n">
        <f aca="false">Algae_electricity_factor/L129</f>
        <v>0.0017893561310457</v>
      </c>
      <c r="AI129" s="220" t="n">
        <f aca="false">Algae_electricity_factor/M129</f>
        <v>0.00170833676813553</v>
      </c>
      <c r="AJ129" s="220" t="n">
        <f aca="false">Algae_electricity_factor/N129</f>
        <v>0.00166318959531485</v>
      </c>
      <c r="AK129" s="220" t="n">
        <f aca="false">Algae_electricity_factor/O129</f>
        <v>0.00159877721531747</v>
      </c>
      <c r="AL129" s="220" t="n">
        <f aca="false">Algae_electricity_factor/P129</f>
        <v>0.00151329288400809</v>
      </c>
      <c r="AM129" s="220" t="n">
        <f aca="false">Algae_electricity_factor/Q129</f>
        <v>0.00141011720550019</v>
      </c>
      <c r="AN129" s="220" t="n">
        <f aca="false">Algae_electricity_factor/R129</f>
        <v>0.00129894976720132</v>
      </c>
      <c r="AO129" s="220" t="n">
        <f aca="false">Algae_electricity_factor/S129</f>
        <v>0.0011929040873638</v>
      </c>
      <c r="AP129" s="220" t="n">
        <f aca="false">Algae_electricity_factor/T129</f>
        <v>0.00110286655365359</v>
      </c>
      <c r="AQ129" s="220" t="n">
        <f aca="false">Algae_electricity_factor/U129</f>
        <v>0.00103367740013849</v>
      </c>
      <c r="AR129" s="220" t="n">
        <f aca="false">Algae_electricity_factor/V129</f>
        <v>0.00098447472413508</v>
      </c>
      <c r="AS129" s="220" t="n">
        <f aca="false">Algae_electricity_factor/W129</f>
        <v>0.000951381811465544</v>
      </c>
      <c r="AT129" s="220" t="n">
        <f aca="false">Algae_electricity_factor/X129</f>
        <v>0.00092995023156113</v>
      </c>
      <c r="AU129" s="220" t="n">
        <f aca="false">Algae_electricity_factor/Y129</f>
        <v>0.000916408809512216</v>
      </c>
      <c r="AV129" s="220" t="n">
        <f aca="false">Algae_electricity_factor/Z129</f>
        <v>0.000907985607343532</v>
      </c>
      <c r="AW129" s="220" t="n">
        <f aca="false">Algae_electricity_factor/AA129</f>
        <v>0.000902797013844932</v>
      </c>
      <c r="AX129" s="220" t="n">
        <f aca="false">Algae_electricity_factor/AB129</f>
        <v>0.000899620102751982</v>
      </c>
      <c r="AY129" s="220" t="n">
        <f aca="false">Algae_electricity_factor/AC129</f>
        <v>0.000897682091731529</v>
      </c>
      <c r="AZ129" s="211" t="n">
        <f aca="false">Algae_yield_cost_factor/H129</f>
        <v>0.0990583757167227</v>
      </c>
      <c r="BA129" s="18" t="n">
        <f aca="false">Algae_yield_cost_factor/I129</f>
        <v>0.0990583757167227</v>
      </c>
      <c r="BB129" s="18" t="n">
        <f aca="false">Algae_yield_cost_factor/J129</f>
        <v>0.0990583757167227</v>
      </c>
      <c r="BC129" s="18" t="n">
        <f aca="false">Algae_yield_cost_factor/K129</f>
        <v>0.0990583757167227</v>
      </c>
      <c r="BD129" s="18" t="n">
        <f aca="false">Algae_yield_cost_factor/L129</f>
        <v>0.0990583757167227</v>
      </c>
      <c r="BE129" s="18" t="n">
        <f aca="false">Algae_yield_cost_factor/M129</f>
        <v>0.0945731609781704</v>
      </c>
      <c r="BF129" s="18" t="n">
        <f aca="false">Algae_yield_cost_factor/N129</f>
        <v>0.0920738230709616</v>
      </c>
      <c r="BG129" s="18" t="n">
        <f aca="false">Algae_yield_cost_factor/O129</f>
        <v>0.0885079673824914</v>
      </c>
      <c r="BH129" s="18" t="n">
        <f aca="false">Algae_yield_cost_factor/P129</f>
        <v>0.0837755729408166</v>
      </c>
      <c r="BI129" s="18" t="n">
        <f aca="false">Algae_yield_cost_factor/Q129</f>
        <v>0.078063789272302</v>
      </c>
      <c r="BJ129" s="18" t="n">
        <f aca="false">Algae_yield_cost_factor/R129</f>
        <v>0.0719095834775953</v>
      </c>
      <c r="BK129" s="18" t="n">
        <f aca="false">Algae_yield_cost_factor/S129</f>
        <v>0.0660389171444818</v>
      </c>
      <c r="BL129" s="18" t="n">
        <f aca="false">Algae_yield_cost_factor/T129</f>
        <v>0.061054458384078</v>
      </c>
      <c r="BM129" s="18" t="n">
        <f aca="false">Algae_yield_cost_factor/U129</f>
        <v>0.057224161527289</v>
      </c>
      <c r="BN129" s="18" t="n">
        <f aca="false">Algae_yield_cost_factor/V129</f>
        <v>0.0545003118244543</v>
      </c>
      <c r="BO129" s="18" t="n">
        <f aca="false">Algae_yield_cost_factor/W129</f>
        <v>0.0526682952013219</v>
      </c>
      <c r="BP129" s="18" t="n">
        <f aca="false">Algae_yield_cost_factor/X129</f>
        <v>0.051481847485554</v>
      </c>
      <c r="BQ129" s="18" t="n">
        <f aca="false">Algae_yield_cost_factor/Y129</f>
        <v>0.0507321972343901</v>
      </c>
      <c r="BR129" s="18" t="n">
        <f aca="false">Algae_yield_cost_factor/Z129</f>
        <v>0.0502658905497192</v>
      </c>
      <c r="BS129" s="18" t="n">
        <f aca="false">Algae_yield_cost_factor/AA129</f>
        <v>0.0499786511146464</v>
      </c>
      <c r="BT129" s="18" t="n">
        <f aca="false">Algae_yield_cost_factor/AB129</f>
        <v>0.0498027779906752</v>
      </c>
      <c r="BU129" s="18" t="n">
        <f aca="false">Algae_yield_cost_factor/AC129</f>
        <v>0.0496954901118252</v>
      </c>
    </row>
    <row r="130" customFormat="false" ht="15" hidden="false" customHeight="false" outlineLevel="0" collapsed="false">
      <c r="A130" s="18" t="s">
        <v>709</v>
      </c>
      <c r="B130" s="18" t="s">
        <v>22</v>
      </c>
      <c r="C130" s="18" t="s">
        <v>694</v>
      </c>
      <c r="D130" s="18" t="s">
        <v>694</v>
      </c>
      <c r="E130" s="185" t="n">
        <v>7.87875</v>
      </c>
      <c r="F130" s="18" t="n">
        <f aca="false">E130/$B$2*$F$3/1000</f>
        <v>0.0193029375</v>
      </c>
      <c r="G130" s="18" t="n">
        <f aca="false">LOOKUP(RIGHT(D130,5),Ref!$C$4:$C$21,Ref!$E$4:$E$21)*$G$3</f>
        <v>3</v>
      </c>
      <c r="H130" s="222" t="n">
        <f aca="false">$E130</f>
        <v>7.87875</v>
      </c>
      <c r="I130" s="185" t="n">
        <f aca="false">$E130</f>
        <v>7.87875</v>
      </c>
      <c r="J130" s="185" t="n">
        <f aca="false">$E130</f>
        <v>7.87875</v>
      </c>
      <c r="K130" s="185" t="n">
        <f aca="false">$E130</f>
        <v>7.87875</v>
      </c>
      <c r="L130" s="185" t="n">
        <f aca="false">$E130</f>
        <v>7.87875</v>
      </c>
      <c r="M130" s="185" t="n">
        <f aca="false">M$3*$E130</f>
        <v>8.25240659829775</v>
      </c>
      <c r="N130" s="185" t="n">
        <f aca="false">N$3*$E130</f>
        <v>8.47641763584237</v>
      </c>
      <c r="O130" s="185" t="n">
        <f aca="false">O$3*$E130</f>
        <v>8.81792002188176</v>
      </c>
      <c r="P130" s="185" t="n">
        <f aca="false">P$3*$E130</f>
        <v>9.31603509568933</v>
      </c>
      <c r="Q130" s="185" t="n">
        <f aca="false">Q$3*$E130</f>
        <v>9.99767222361885</v>
      </c>
      <c r="R130" s="185" t="n">
        <f aca="false">R$3*$E130</f>
        <v>10.8532985442934</v>
      </c>
      <c r="S130" s="185" t="n">
        <f aca="false">S$3*$E130</f>
        <v>11.818125</v>
      </c>
      <c r="T130" s="185" t="n">
        <f aca="false">T$3*$E130</f>
        <v>12.7829514557066</v>
      </c>
      <c r="U130" s="185" t="n">
        <f aca="false">U$3*$E130</f>
        <v>13.6385777763811</v>
      </c>
      <c r="V130" s="185" t="n">
        <f aca="false">V$3*$E130</f>
        <v>14.3202149043107</v>
      </c>
      <c r="W130" s="185" t="n">
        <f aca="false">W$3*$E130</f>
        <v>14.8183299781182</v>
      </c>
      <c r="X130" s="185" t="n">
        <f aca="false">X$3*$E130</f>
        <v>15.1598323641576</v>
      </c>
      <c r="Y130" s="185" t="n">
        <f aca="false">Y$3*$E130</f>
        <v>15.3838434017022</v>
      </c>
      <c r="Z130" s="185" t="n">
        <f aca="false">Z$3*$E130</f>
        <v>15.5265562619678</v>
      </c>
      <c r="AA130" s="185" t="n">
        <f aca="false">AA$3*$E130</f>
        <v>15.6157911482612</v>
      </c>
      <c r="AB130" s="185" t="n">
        <f aca="false">AB$3*$E130</f>
        <v>15.6709366257492</v>
      </c>
      <c r="AC130" s="185" t="n">
        <f aca="false">AC$3*$E130</f>
        <v>15.7047687007803</v>
      </c>
      <c r="AD130" s="219" t="n">
        <f aca="false">Algae_electricity_factor/H130</f>
        <v>0.00174438801885188</v>
      </c>
      <c r="AE130" s="220" t="n">
        <f aca="false">Algae_electricity_factor/I130</f>
        <v>0.00174438801885188</v>
      </c>
      <c r="AF130" s="220" t="n">
        <f aca="false">Algae_electricity_factor/J130</f>
        <v>0.00174438801885188</v>
      </c>
      <c r="AG130" s="220" t="n">
        <f aca="false">Algae_electricity_factor/K130</f>
        <v>0.00174438801885188</v>
      </c>
      <c r="AH130" s="220" t="n">
        <f aca="false">Algae_electricity_factor/L130</f>
        <v>0.00174438801885188</v>
      </c>
      <c r="AI130" s="220" t="n">
        <f aca="false">Algae_electricity_factor/M130</f>
        <v>0.00166540474464312</v>
      </c>
      <c r="AJ130" s="220" t="n">
        <f aca="false">Algae_electricity_factor/N130</f>
        <v>0.00162139216045877</v>
      </c>
      <c r="AK130" s="220" t="n">
        <f aca="false">Algae_electricity_factor/O130</f>
        <v>0.00155859852090112</v>
      </c>
      <c r="AL130" s="220" t="n">
        <f aca="false">Algae_electricity_factor/P130</f>
        <v>0.00147526248692307</v>
      </c>
      <c r="AM130" s="220" t="n">
        <f aca="false">Algae_electricity_factor/Q130</f>
        <v>0.00137467970504783</v>
      </c>
      <c r="AN130" s="220" t="n">
        <f aca="false">Algae_electricity_factor/R130</f>
        <v>0.00126630600341825</v>
      </c>
      <c r="AO130" s="220" t="n">
        <f aca="false">Algae_electricity_factor/S130</f>
        <v>0.00116292534590125</v>
      </c>
      <c r="AP130" s="220" t="n">
        <f aca="false">Algae_electricity_factor/T130</f>
        <v>0.0010751505355513</v>
      </c>
      <c r="AQ130" s="220" t="n">
        <f aca="false">Algae_electricity_factor/U130</f>
        <v>0.00100770016704601</v>
      </c>
      <c r="AR130" s="220" t="n">
        <f aca="false">Algae_electricity_factor/V130</f>
        <v>0.000959733998083518</v>
      </c>
      <c r="AS130" s="220" t="n">
        <f aca="false">Algae_electricity_factor/W130</f>
        <v>0.000927472739763792</v>
      </c>
      <c r="AT130" s="220" t="n">
        <f aca="false">Algae_electricity_factor/X130</f>
        <v>0.000906579754537605</v>
      </c>
      <c r="AU130" s="220" t="n">
        <f aca="false">Algae_electricity_factor/Y130</f>
        <v>0.000893378640477354</v>
      </c>
      <c r="AV130" s="220" t="n">
        <f aca="false">Algae_electricity_factor/Z130</f>
        <v>0.00088516712087626</v>
      </c>
      <c r="AW130" s="220" t="n">
        <f aca="false">Algae_electricity_factor/AA130</f>
        <v>0.0008801089213504</v>
      </c>
      <c r="AX130" s="220" t="n">
        <f aca="false">Algae_electricity_factor/AB130</f>
        <v>0.000877011848860833</v>
      </c>
      <c r="AY130" s="220" t="n">
        <f aca="false">Algae_electricity_factor/AC130</f>
        <v>0.000875122541782256</v>
      </c>
      <c r="AZ130" s="211" t="n">
        <f aca="false">Algae_yield_cost_factor/H130</f>
        <v>0.0965689505678208</v>
      </c>
      <c r="BA130" s="18" t="n">
        <f aca="false">Algae_yield_cost_factor/I130</f>
        <v>0.0965689505678208</v>
      </c>
      <c r="BB130" s="18" t="n">
        <f aca="false">Algae_yield_cost_factor/J130</f>
        <v>0.0965689505678208</v>
      </c>
      <c r="BC130" s="18" t="n">
        <f aca="false">Algae_yield_cost_factor/K130</f>
        <v>0.0965689505678208</v>
      </c>
      <c r="BD130" s="18" t="n">
        <f aca="false">Algae_yield_cost_factor/L130</f>
        <v>0.0965689505678208</v>
      </c>
      <c r="BE130" s="18" t="n">
        <f aca="false">Algae_yield_cost_factor/M130</f>
        <v>0.0921964532677242</v>
      </c>
      <c r="BF130" s="18" t="n">
        <f aca="false">Algae_yield_cost_factor/N130</f>
        <v>0.0897599259466652</v>
      </c>
      <c r="BG130" s="18" t="n">
        <f aca="false">Algae_yield_cost_factor/O130</f>
        <v>0.0862836833854445</v>
      </c>
      <c r="BH130" s="18" t="n">
        <f aca="false">Algae_yield_cost_factor/P130</f>
        <v>0.0816702182281678</v>
      </c>
      <c r="BI130" s="18" t="n">
        <f aca="false">Algae_yield_cost_factor/Q130</f>
        <v>0.0761019767670295</v>
      </c>
      <c r="BJ130" s="18" t="n">
        <f aca="false">Algae_yield_cost_factor/R130</f>
        <v>0.0701024316415091</v>
      </c>
      <c r="BK130" s="18" t="n">
        <f aca="false">Algae_yield_cost_factor/S130</f>
        <v>0.0643793003785472</v>
      </c>
      <c r="BL130" s="18" t="n">
        <f aca="false">Algae_yield_cost_factor/T130</f>
        <v>0.0595201055032216</v>
      </c>
      <c r="BM130" s="18" t="n">
        <f aca="false">Algae_yield_cost_factor/U130</f>
        <v>0.0557860674156084</v>
      </c>
      <c r="BN130" s="18" t="n">
        <f aca="false">Algae_yield_cost_factor/V130</f>
        <v>0.0531306704801748</v>
      </c>
      <c r="BO130" s="18" t="n">
        <f aca="false">Algae_yield_cost_factor/W130</f>
        <v>0.0513446940653724</v>
      </c>
      <c r="BP130" s="18" t="n">
        <f aca="false">Algae_yield_cost_factor/X130</f>
        <v>0.0501880628367024</v>
      </c>
      <c r="BQ130" s="18" t="n">
        <f aca="false">Algae_yield_cost_factor/Y130</f>
        <v>0.0494572519635782</v>
      </c>
      <c r="BR130" s="18" t="n">
        <f aca="false">Algae_yield_cost_factor/Z130</f>
        <v>0.0490026639809305</v>
      </c>
      <c r="BS130" s="18" t="n">
        <f aca="false">Algae_yield_cost_factor/AA130</f>
        <v>0.0487226431285192</v>
      </c>
      <c r="BT130" s="18" t="n">
        <f aca="false">Algae_yield_cost_factor/AB130</f>
        <v>0.0485511898526897</v>
      </c>
      <c r="BU130" s="18" t="n">
        <f aca="false">Algae_yield_cost_factor/AC130</f>
        <v>0.048446598213727</v>
      </c>
    </row>
    <row r="131" customFormat="false" ht="15" hidden="false" customHeight="false" outlineLevel="0" collapsed="false">
      <c r="A131" s="18" t="s">
        <v>709</v>
      </c>
      <c r="B131" s="18" t="s">
        <v>22</v>
      </c>
      <c r="C131" s="18" t="s">
        <v>682</v>
      </c>
      <c r="D131" s="18" t="s">
        <v>682</v>
      </c>
      <c r="E131" s="185" t="n">
        <v>8.81925</v>
      </c>
      <c r="F131" s="18" t="n">
        <f aca="false">E131/$B$2*$F$3/1000</f>
        <v>0.0216071625</v>
      </c>
      <c r="G131" s="18" t="n">
        <f aca="false">LOOKUP(RIGHT(D131,5),Ref!$C$4:$C$21,Ref!$E$4:$E$21)*$G$3</f>
        <v>3</v>
      </c>
      <c r="H131" s="222" t="n">
        <f aca="false">$E131</f>
        <v>8.81925</v>
      </c>
      <c r="I131" s="185" t="n">
        <f aca="false">$E131</f>
        <v>8.81925</v>
      </c>
      <c r="J131" s="185" t="n">
        <f aca="false">$E131</f>
        <v>8.81925</v>
      </c>
      <c r="K131" s="185" t="n">
        <f aca="false">$E131</f>
        <v>8.81925</v>
      </c>
      <c r="L131" s="185" t="n">
        <f aca="false">$E131</f>
        <v>8.81925</v>
      </c>
      <c r="M131" s="185" t="n">
        <f aca="false">M$3*$E131</f>
        <v>9.23751063202126</v>
      </c>
      <c r="N131" s="185" t="n">
        <f aca="false">N$3*$E131</f>
        <v>9.48826225415235</v>
      </c>
      <c r="O131" s="185" t="n">
        <f aca="false">O$3*$E131</f>
        <v>9.87053037004356</v>
      </c>
      <c r="P131" s="185" t="n">
        <f aca="false">P$3*$E131</f>
        <v>10.4281063008292</v>
      </c>
      <c r="Q131" s="185" t="n">
        <f aca="false">Q$3*$E131</f>
        <v>11.1911116304173</v>
      </c>
      <c r="R131" s="185" t="n">
        <f aca="false">R$3*$E131</f>
        <v>12.148875543298</v>
      </c>
      <c r="S131" s="185" t="n">
        <f aca="false">S$3*$E131</f>
        <v>13.228875</v>
      </c>
      <c r="T131" s="185" t="n">
        <f aca="false">T$3*$E131</f>
        <v>14.308874456702</v>
      </c>
      <c r="U131" s="185" t="n">
        <f aca="false">U$3*$E131</f>
        <v>15.2666383695827</v>
      </c>
      <c r="V131" s="185" t="n">
        <f aca="false">V$3*$E131</f>
        <v>16.0296436991708</v>
      </c>
      <c r="W131" s="185" t="n">
        <f aca="false">W$3*$E131</f>
        <v>16.5872196299564</v>
      </c>
      <c r="X131" s="185" t="n">
        <f aca="false">X$3*$E131</f>
        <v>16.9694877458476</v>
      </c>
      <c r="Y131" s="185" t="n">
        <f aca="false">Y$3*$E131</f>
        <v>17.2202393679787</v>
      </c>
      <c r="Z131" s="185" t="n">
        <f aca="false">Z$3*$E131</f>
        <v>17.3799881089461</v>
      </c>
      <c r="AA131" s="185" t="n">
        <f aca="false">AA$3*$E131</f>
        <v>17.4798751177918</v>
      </c>
      <c r="AB131" s="185" t="n">
        <f aca="false">AB$3*$E131</f>
        <v>17.5416034062051</v>
      </c>
      <c r="AC131" s="185" t="n">
        <f aca="false">AC$3*$E131</f>
        <v>17.579474074486</v>
      </c>
      <c r="AD131" s="219" t="n">
        <f aca="false">Algae_electricity_factor/H131</f>
        <v>0.00155836347802016</v>
      </c>
      <c r="AE131" s="220" t="n">
        <f aca="false">Algae_electricity_factor/I131</f>
        <v>0.00155836347802016</v>
      </c>
      <c r="AF131" s="220" t="n">
        <f aca="false">Algae_electricity_factor/J131</f>
        <v>0.00155836347802016</v>
      </c>
      <c r="AG131" s="220" t="n">
        <f aca="false">Algae_electricity_factor/K131</f>
        <v>0.00155836347802016</v>
      </c>
      <c r="AH131" s="220" t="n">
        <f aca="false">Algae_electricity_factor/L131</f>
        <v>0.00155836347802016</v>
      </c>
      <c r="AI131" s="220" t="n">
        <f aca="false">Algae_electricity_factor/M131</f>
        <v>0.00148780311612178</v>
      </c>
      <c r="AJ131" s="220" t="n">
        <f aca="false">Algae_electricity_factor/N131</f>
        <v>0.00144848410967084</v>
      </c>
      <c r="AK131" s="220" t="n">
        <f aca="false">Algae_electricity_factor/O131</f>
        <v>0.00139238689191821</v>
      </c>
      <c r="AL131" s="220" t="n">
        <f aca="false">Algae_electricity_factor/P131</f>
        <v>0.00131793795604447</v>
      </c>
      <c r="AM131" s="220" t="n">
        <f aca="false">Algae_electricity_factor/Q131</f>
        <v>0.00122808149515499</v>
      </c>
      <c r="AN131" s="220" t="n">
        <f aca="false">Algae_electricity_factor/R131</f>
        <v>0.00113126495160377</v>
      </c>
      <c r="AO131" s="220" t="n">
        <f aca="false">Algae_electricity_factor/S131</f>
        <v>0.00103890898534677</v>
      </c>
      <c r="AP131" s="220" t="n">
        <f aca="false">Algae_electricity_factor/T131</f>
        <v>0.000960494631853595</v>
      </c>
      <c r="AQ131" s="220" t="n">
        <f aca="false">Algae_electricity_factor/U131</f>
        <v>0.000900237286743627</v>
      </c>
      <c r="AR131" s="220" t="n">
        <f aca="false">Algae_electricity_factor/V131</f>
        <v>0.000857386312600336</v>
      </c>
      <c r="AS131" s="220" t="n">
        <f aca="false">Algae_electricity_factor/W131</f>
        <v>0.000828565450397027</v>
      </c>
      <c r="AT131" s="220" t="n">
        <f aca="false">Algae_electricity_factor/X131</f>
        <v>0.000809900529077093</v>
      </c>
      <c r="AU131" s="220" t="n">
        <f aca="false">Algae_electricity_factor/Y131</f>
        <v>0.000798107204542444</v>
      </c>
      <c r="AV131" s="220" t="n">
        <f aca="false">Algae_electricity_factor/Z131</f>
        <v>0.000790771375525564</v>
      </c>
      <c r="AW131" s="220" t="n">
        <f aca="false">Algae_electricity_factor/AA131</f>
        <v>0.000786252591103491</v>
      </c>
      <c r="AX131" s="220" t="n">
        <f aca="false">Algae_electricity_factor/AB131</f>
        <v>0.000783485795755</v>
      </c>
      <c r="AY131" s="220" t="n">
        <f aca="false">Algae_electricity_factor/AC131</f>
        <v>0.000781797967635224</v>
      </c>
      <c r="AZ131" s="211" t="n">
        <f aca="false">Algae_yield_cost_factor/H131</f>
        <v>0.0862706714614301</v>
      </c>
      <c r="BA131" s="18" t="n">
        <f aca="false">Algae_yield_cost_factor/I131</f>
        <v>0.0862706714614301</v>
      </c>
      <c r="BB131" s="18" t="n">
        <f aca="false">Algae_yield_cost_factor/J131</f>
        <v>0.0862706714614301</v>
      </c>
      <c r="BC131" s="18" t="n">
        <f aca="false">Algae_yield_cost_factor/K131</f>
        <v>0.0862706714614301</v>
      </c>
      <c r="BD131" s="18" t="n">
        <f aca="false">Algae_yield_cost_factor/L131</f>
        <v>0.0862706714614301</v>
      </c>
      <c r="BE131" s="18" t="n">
        <f aca="false">Algae_yield_cost_factor/M131</f>
        <v>0.0823644647995104</v>
      </c>
      <c r="BF131" s="18" t="n">
        <f aca="false">Algae_yield_cost_factor/N131</f>
        <v>0.0801877729458047</v>
      </c>
      <c r="BG131" s="18" t="n">
        <f aca="false">Algae_yield_cost_factor/O131</f>
        <v>0.0770822428747423</v>
      </c>
      <c r="BH131" s="18" t="n">
        <f aca="false">Algae_yield_cost_factor/P131</f>
        <v>0.0729607655826943</v>
      </c>
      <c r="BI131" s="18" t="n">
        <f aca="false">Algae_yield_cost_factor/Q131</f>
        <v>0.0679863309752228</v>
      </c>
      <c r="BJ131" s="18" t="n">
        <f aca="false">Algae_yield_cost_factor/R131</f>
        <v>0.0626265876685138</v>
      </c>
      <c r="BK131" s="18" t="n">
        <f aca="false">Algae_yield_cost_factor/S131</f>
        <v>0.0575137809742868</v>
      </c>
      <c r="BL131" s="18" t="n">
        <f aca="false">Algae_yield_cost_factor/T131</f>
        <v>0.0531727790042812</v>
      </c>
      <c r="BM131" s="18" t="n">
        <f aca="false">Algae_yield_cost_factor/U131</f>
        <v>0.0498369451654874</v>
      </c>
      <c r="BN131" s="18" t="n">
        <f aca="false">Algae_yield_cost_factor/V131</f>
        <v>0.04746472432981</v>
      </c>
      <c r="BO131" s="18" t="n">
        <f aca="false">Algae_yield_cost_factor/W131</f>
        <v>0.0458692075139669</v>
      </c>
      <c r="BP131" s="18" t="n">
        <f aca="false">Algae_yield_cost_factor/X131</f>
        <v>0.0448359214303562</v>
      </c>
      <c r="BQ131" s="18" t="n">
        <f aca="false">Algae_yield_cost_factor/Y131</f>
        <v>0.0441830454866391</v>
      </c>
      <c r="BR131" s="18" t="n">
        <f aca="false">Algae_yield_cost_factor/Z131</f>
        <v>0.0437769355489136</v>
      </c>
      <c r="BS131" s="18" t="n">
        <f aca="false">Algae_yield_cost_factor/AA131</f>
        <v>0.043526776602185</v>
      </c>
      <c r="BT131" s="18" t="n">
        <f aca="false">Algae_yield_cost_factor/AB131</f>
        <v>0.0433736073988013</v>
      </c>
      <c r="BU131" s="18" t="n">
        <f aca="false">Algae_yield_cost_factor/AC131</f>
        <v>0.0432801695922444</v>
      </c>
    </row>
    <row r="132" customFormat="false" ht="15" hidden="false" customHeight="false" outlineLevel="0" collapsed="false">
      <c r="A132" s="18" t="s">
        <v>710</v>
      </c>
      <c r="B132" s="18" t="s">
        <v>22</v>
      </c>
      <c r="C132" s="18" t="s">
        <v>685</v>
      </c>
      <c r="D132" s="18" t="s">
        <v>685</v>
      </c>
      <c r="E132" s="185" t="n">
        <v>8.085</v>
      </c>
      <c r="F132" s="18" t="n">
        <f aca="false">E132/$B$2*$F$3/1000</f>
        <v>0.01980825</v>
      </c>
      <c r="G132" s="18" t="n">
        <f aca="false">LOOKUP(RIGHT(D132,5),Ref!$C$4:$C$21,Ref!$E$4:$E$21)*$G$3</f>
        <v>4</v>
      </c>
      <c r="H132" s="222" t="n">
        <f aca="false">$E132</f>
        <v>8.085</v>
      </c>
      <c r="I132" s="185" t="n">
        <f aca="false">$E132</f>
        <v>8.085</v>
      </c>
      <c r="J132" s="185" t="n">
        <f aca="false">$E132</f>
        <v>8.085</v>
      </c>
      <c r="K132" s="185" t="n">
        <f aca="false">$E132</f>
        <v>8.085</v>
      </c>
      <c r="L132" s="185" t="n">
        <f aca="false">$E132</f>
        <v>8.085</v>
      </c>
      <c r="M132" s="185" t="n">
        <f aca="false">M$3*$E132</f>
        <v>8.46843818464063</v>
      </c>
      <c r="N132" s="185" t="n">
        <f aca="false">N$3*$E132</f>
        <v>8.69831338547175</v>
      </c>
      <c r="O132" s="185" t="n">
        <f aca="false">O$3*$E132</f>
        <v>9.04875562454882</v>
      </c>
      <c r="P132" s="185" t="n">
        <f aca="false">P$3*$E132</f>
        <v>9.55991035997439</v>
      </c>
      <c r="Q132" s="185" t="n">
        <f aca="false">Q$3*$E132</f>
        <v>10.2593913917764</v>
      </c>
      <c r="R132" s="185" t="n">
        <f aca="false">R$3*$E132</f>
        <v>11.137416307233</v>
      </c>
      <c r="S132" s="185" t="n">
        <f aca="false">S$3*$E132</f>
        <v>12.1275</v>
      </c>
      <c r="T132" s="185" t="n">
        <f aca="false">T$3*$E132</f>
        <v>13.117583692767</v>
      </c>
      <c r="U132" s="185" t="n">
        <f aca="false">U$3*$E132</f>
        <v>13.9956086082236</v>
      </c>
      <c r="V132" s="185" t="n">
        <f aca="false">V$3*$E132</f>
        <v>14.6950896400256</v>
      </c>
      <c r="W132" s="185" t="n">
        <f aca="false">W$3*$E132</f>
        <v>15.2062443754512</v>
      </c>
      <c r="X132" s="185" t="n">
        <f aca="false">X$3*$E132</f>
        <v>15.5566866145282</v>
      </c>
      <c r="Y132" s="185" t="n">
        <f aca="false">Y$3*$E132</f>
        <v>15.7865618153594</v>
      </c>
      <c r="Z132" s="185" t="n">
        <f aca="false">Z$3*$E132</f>
        <v>15.9330106143753</v>
      </c>
      <c r="AA132" s="185" t="n">
        <f aca="false">AA$3*$E132</f>
        <v>16.0245814924565</v>
      </c>
      <c r="AB132" s="185" t="n">
        <f aca="false">AB$3*$E132</f>
        <v>16.0811705688317</v>
      </c>
      <c r="AC132" s="185" t="n">
        <f aca="false">AC$3*$E132</f>
        <v>16.1158883002772</v>
      </c>
      <c r="AD132" s="219" t="n">
        <f aca="false">Algae_electricity_factor/H132</f>
        <v>0.00169988832449342</v>
      </c>
      <c r="AE132" s="220" t="n">
        <f aca="false">Algae_electricity_factor/I132</f>
        <v>0.00169988832449342</v>
      </c>
      <c r="AF132" s="220" t="n">
        <f aca="false">Algae_electricity_factor/J132</f>
        <v>0.00169988832449342</v>
      </c>
      <c r="AG132" s="220" t="n">
        <f aca="false">Algae_electricity_factor/K132</f>
        <v>0.00169988832449342</v>
      </c>
      <c r="AH132" s="220" t="n">
        <f aca="false">Algae_electricity_factor/L132</f>
        <v>0.00169988832449342</v>
      </c>
      <c r="AI132" s="220" t="n">
        <f aca="false">Algae_electricity_factor/M132</f>
        <v>0.00162291992972875</v>
      </c>
      <c r="AJ132" s="220" t="n">
        <f aca="false">Algae_electricity_factor/N132</f>
        <v>0.0015800301155491</v>
      </c>
      <c r="AK132" s="220" t="n">
        <f aca="false">Algae_electricity_factor/O132</f>
        <v>0.0015188383545516</v>
      </c>
      <c r="AL132" s="220" t="n">
        <f aca="false">Algae_electricity_factor/P132</f>
        <v>0.00143762823980769</v>
      </c>
      <c r="AM132" s="220" t="n">
        <f aca="false">Algae_electricity_factor/Q132</f>
        <v>0.00133961134522518</v>
      </c>
      <c r="AN132" s="220" t="n">
        <f aca="false">Algae_electricity_factor/R132</f>
        <v>0.00123400227884125</v>
      </c>
      <c r="AO132" s="220" t="n">
        <f aca="false">Algae_electricity_factor/S132</f>
        <v>0.00113325888299561</v>
      </c>
      <c r="AP132" s="220" t="n">
        <f aca="false">Algae_electricity_factor/T132</f>
        <v>0.00104772322597091</v>
      </c>
      <c r="AQ132" s="220" t="n">
        <f aca="false">Algae_electricity_factor/U132</f>
        <v>0.000981993530131569</v>
      </c>
      <c r="AR132" s="220" t="n">
        <f aca="false">Algae_electricity_factor/V132</f>
        <v>0.000935250987928326</v>
      </c>
      <c r="AS132" s="220" t="n">
        <f aca="false">Algae_electricity_factor/W132</f>
        <v>0.000903812720892267</v>
      </c>
      <c r="AT132" s="220" t="n">
        <f aca="false">Algae_electricity_factor/X132</f>
        <v>0.000883452719983074</v>
      </c>
      <c r="AU132" s="220" t="n">
        <f aca="false">Algae_electricity_factor/Y132</f>
        <v>0.000870588369036605</v>
      </c>
      <c r="AV132" s="220" t="n">
        <f aca="false">Algae_electricity_factor/Z132</f>
        <v>0.000862586326976355</v>
      </c>
      <c r="AW132" s="220" t="n">
        <f aca="false">Algae_electricity_factor/AA132</f>
        <v>0.000857657163152686</v>
      </c>
      <c r="AX132" s="220" t="n">
        <f aca="false">Algae_electricity_factor/AB132</f>
        <v>0.000854639097614383</v>
      </c>
      <c r="AY132" s="220" t="n">
        <f aca="false">Algae_electricity_factor/AC132</f>
        <v>0.000852797987144953</v>
      </c>
      <c r="AZ132" s="211" t="n">
        <f aca="false">Algae_yield_cost_factor/H132</f>
        <v>0.0941054569308866</v>
      </c>
      <c r="BA132" s="18" t="n">
        <f aca="false">Algae_yield_cost_factor/I132</f>
        <v>0.0941054569308866</v>
      </c>
      <c r="BB132" s="18" t="n">
        <f aca="false">Algae_yield_cost_factor/J132</f>
        <v>0.0941054569308866</v>
      </c>
      <c r="BC132" s="18" t="n">
        <f aca="false">Algae_yield_cost_factor/K132</f>
        <v>0.0941054569308866</v>
      </c>
      <c r="BD132" s="18" t="n">
        <f aca="false">Algae_yield_cost_factor/L132</f>
        <v>0.0941054569308866</v>
      </c>
      <c r="BE132" s="18" t="n">
        <f aca="false">Algae_yield_cost_factor/M132</f>
        <v>0.0898445029292619</v>
      </c>
      <c r="BF132" s="18" t="n">
        <f aca="false">Algae_yield_cost_factor/N132</f>
        <v>0.0874701319174135</v>
      </c>
      <c r="BG132" s="18" t="n">
        <f aca="false">Algae_yield_cost_factor/O132</f>
        <v>0.0840825690133669</v>
      </c>
      <c r="BH132" s="18" t="n">
        <f aca="false">Algae_yield_cost_factor/P132</f>
        <v>0.0795867942937758</v>
      </c>
      <c r="BI132" s="18" t="n">
        <f aca="false">Algae_yield_cost_factor/Q132</f>
        <v>0.0741605998086869</v>
      </c>
      <c r="BJ132" s="18" t="n">
        <f aca="false">Algae_yield_cost_factor/R132</f>
        <v>0.0683141043037155</v>
      </c>
      <c r="BK132" s="18" t="n">
        <f aca="false">Algae_yield_cost_factor/S132</f>
        <v>0.0627369712872577</v>
      </c>
      <c r="BL132" s="18" t="n">
        <f aca="false">Algae_yield_cost_factor/T132</f>
        <v>0.0580017354648741</v>
      </c>
      <c r="BM132" s="18" t="n">
        <f aca="false">Algae_yield_cost_factor/U132</f>
        <v>0.0543629534509245</v>
      </c>
      <c r="BN132" s="18" t="n">
        <f aca="false">Algae_yield_cost_factor/V132</f>
        <v>0.0517752962332316</v>
      </c>
      <c r="BO132" s="18" t="n">
        <f aca="false">Algae_yield_cost_factor/W132</f>
        <v>0.0500348804412558</v>
      </c>
      <c r="BP132" s="18" t="n">
        <f aca="false">Algae_yield_cost_factor/X132</f>
        <v>0.0489077551112763</v>
      </c>
      <c r="BQ132" s="18" t="n">
        <f aca="false">Algae_yield_cost_factor/Y132</f>
        <v>0.0481955873726706</v>
      </c>
      <c r="BR132" s="18" t="n">
        <f aca="false">Algae_yield_cost_factor/Z132</f>
        <v>0.0477525960222333</v>
      </c>
      <c r="BS132" s="18" t="n">
        <f aca="false">Algae_yield_cost_factor/AA132</f>
        <v>0.0474797185589141</v>
      </c>
      <c r="BT132" s="18" t="n">
        <f aca="false">Algae_yield_cost_factor/AB132</f>
        <v>0.0473126390911414</v>
      </c>
      <c r="BU132" s="18" t="n">
        <f aca="false">Algae_yield_cost_factor/AC132</f>
        <v>0.0472107156062339</v>
      </c>
    </row>
    <row r="133" customFormat="false" ht="15" hidden="false" customHeight="false" outlineLevel="0" collapsed="false">
      <c r="A133" s="18" t="s">
        <v>710</v>
      </c>
      <c r="B133" s="18" t="s">
        <v>22</v>
      </c>
      <c r="C133" s="18" t="s">
        <v>686</v>
      </c>
      <c r="D133" s="18" t="s">
        <v>686</v>
      </c>
      <c r="E133" s="185" t="n">
        <v>8.40675</v>
      </c>
      <c r="F133" s="18" t="n">
        <f aca="false">E133/$B$2*$F$3/1000</f>
        <v>0.0205965375</v>
      </c>
      <c r="G133" s="18" t="n">
        <f aca="false">LOOKUP(RIGHT(D133,5),Ref!$C$4:$C$21,Ref!$E$4:$E$21)*$G$3</f>
        <v>4.5</v>
      </c>
      <c r="H133" s="222" t="n">
        <f aca="false">$E133</f>
        <v>8.40675</v>
      </c>
      <c r="I133" s="185" t="n">
        <f aca="false">$E133</f>
        <v>8.40675</v>
      </c>
      <c r="J133" s="185" t="n">
        <f aca="false">$E133</f>
        <v>8.40675</v>
      </c>
      <c r="K133" s="185" t="n">
        <f aca="false">$E133</f>
        <v>8.40675</v>
      </c>
      <c r="L133" s="185" t="n">
        <f aca="false">$E133</f>
        <v>8.40675</v>
      </c>
      <c r="M133" s="185" t="n">
        <f aca="false">M$3*$E133</f>
        <v>8.80544745933551</v>
      </c>
      <c r="N133" s="185" t="n">
        <f aca="false">N$3*$E133</f>
        <v>9.04447075489359</v>
      </c>
      <c r="O133" s="185" t="n">
        <f aca="false">O$3*$E133</f>
        <v>9.40885916470944</v>
      </c>
      <c r="P133" s="185" t="n">
        <f aca="false">P$3*$E133</f>
        <v>9.94035577225909</v>
      </c>
      <c r="Q133" s="185" t="n">
        <f aca="false">Q$3*$E133</f>
        <v>10.6676732941022</v>
      </c>
      <c r="R133" s="185" t="n">
        <f aca="false">R$3*$E133</f>
        <v>11.5806400174188</v>
      </c>
      <c r="S133" s="185" t="n">
        <f aca="false">S$3*$E133</f>
        <v>12.610125</v>
      </c>
      <c r="T133" s="185" t="n">
        <f aca="false">T$3*$E133</f>
        <v>13.6396099825812</v>
      </c>
      <c r="U133" s="185" t="n">
        <f aca="false">U$3*$E133</f>
        <v>14.5525767058978</v>
      </c>
      <c r="V133" s="185" t="n">
        <f aca="false">V$3*$E133</f>
        <v>15.2798942277409</v>
      </c>
      <c r="W133" s="185" t="n">
        <f aca="false">W$3*$E133</f>
        <v>15.8113908352906</v>
      </c>
      <c r="X133" s="185" t="n">
        <f aca="false">X$3*$E133</f>
        <v>16.1757792451064</v>
      </c>
      <c r="Y133" s="185" t="n">
        <f aca="false">Y$3*$E133</f>
        <v>16.4148025406645</v>
      </c>
      <c r="Z133" s="185" t="n">
        <f aca="false">Z$3*$E133</f>
        <v>16.567079404131</v>
      </c>
      <c r="AA133" s="185" t="n">
        <f aca="false">AA$3*$E133</f>
        <v>16.6622944294012</v>
      </c>
      <c r="AB133" s="185" t="n">
        <f aca="false">AB$3*$E133</f>
        <v>16.7211355200403</v>
      </c>
      <c r="AC133" s="185" t="n">
        <f aca="false">AC$3*$E133</f>
        <v>16.7572348754923</v>
      </c>
      <c r="AD133" s="219" t="n">
        <f aca="false">Algae_electricity_factor/H133</f>
        <v>0.00163482881060211</v>
      </c>
      <c r="AE133" s="220" t="n">
        <f aca="false">Algae_electricity_factor/I133</f>
        <v>0.00163482881060211</v>
      </c>
      <c r="AF133" s="220" t="n">
        <f aca="false">Algae_electricity_factor/J133</f>
        <v>0.00163482881060211</v>
      </c>
      <c r="AG133" s="220" t="n">
        <f aca="false">Algae_electricity_factor/K133</f>
        <v>0.00163482881060211</v>
      </c>
      <c r="AH133" s="220" t="n">
        <f aca="false">Algae_electricity_factor/L133</f>
        <v>0.00163482881060211</v>
      </c>
      <c r="AI133" s="220" t="n">
        <f aca="false">Algae_electricity_factor/M133</f>
        <v>0.00156080621308555</v>
      </c>
      <c r="AJ133" s="220" t="n">
        <f aca="false">Algae_electricity_factor/N133</f>
        <v>0.00151955791289315</v>
      </c>
      <c r="AK133" s="220" t="n">
        <f aca="false">Algae_electricity_factor/O133</f>
        <v>0.00146070813293481</v>
      </c>
      <c r="AL133" s="220" t="n">
        <f aca="false">Algae_electricity_factor/P133</f>
        <v>0.00138260615800936</v>
      </c>
      <c r="AM133" s="220" t="n">
        <f aca="false">Algae_electricity_factor/Q133</f>
        <v>0.00128834064604581</v>
      </c>
      <c r="AN133" s="220" t="n">
        <f aca="false">Algae_electricity_factor/R133</f>
        <v>0.00118677353607893</v>
      </c>
      <c r="AO133" s="220" t="n">
        <f aca="false">Algae_electricity_factor/S133</f>
        <v>0.00108988587373474</v>
      </c>
      <c r="AP133" s="220" t="n">
        <f aca="false">Algae_electricity_factor/T133</f>
        <v>0.00100762390721442</v>
      </c>
      <c r="AQ133" s="220" t="n">
        <f aca="false">Algae_electricity_factor/U133</f>
        <v>0.000944409871961666</v>
      </c>
      <c r="AR133" s="220" t="n">
        <f aca="false">Algae_electricity_factor/V133</f>
        <v>0.000899456298498292</v>
      </c>
      <c r="AS133" s="220" t="n">
        <f aca="false">Algae_electricity_factor/W133</f>
        <v>0.000869221262487165</v>
      </c>
      <c r="AT133" s="220" t="n">
        <f aca="false">Algae_electricity_factor/X133</f>
        <v>0.00084964049615644</v>
      </c>
      <c r="AU133" s="220" t="n">
        <f aca="false">Algae_electricity_factor/Y133</f>
        <v>0.000837268500152966</v>
      </c>
      <c r="AV133" s="220" t="n">
        <f aca="false">Algae_electricity_factor/Z133</f>
        <v>0.000829572718780008</v>
      </c>
      <c r="AW133" s="220" t="n">
        <f aca="false">Algae_electricity_factor/AA133</f>
        <v>0.000824832207938795</v>
      </c>
      <c r="AX133" s="220" t="n">
        <f aca="false">Algae_electricity_factor/AB133</f>
        <v>0.000821929652268985</v>
      </c>
      <c r="AY133" s="220" t="n">
        <f aca="false">Algae_electricity_factor/AC133</f>
        <v>0.000820159006282683</v>
      </c>
      <c r="AZ133" s="211" t="n">
        <f aca="false">Algae_yield_cost_factor/H133</f>
        <v>0.0905037760473688</v>
      </c>
      <c r="BA133" s="18" t="n">
        <f aca="false">Algae_yield_cost_factor/I133</f>
        <v>0.0905037760473688</v>
      </c>
      <c r="BB133" s="18" t="n">
        <f aca="false">Algae_yield_cost_factor/J133</f>
        <v>0.0905037760473688</v>
      </c>
      <c r="BC133" s="18" t="n">
        <f aca="false">Algae_yield_cost_factor/K133</f>
        <v>0.0905037760473688</v>
      </c>
      <c r="BD133" s="18" t="n">
        <f aca="false">Algae_yield_cost_factor/L133</f>
        <v>0.0905037760473688</v>
      </c>
      <c r="BE133" s="18" t="n">
        <f aca="false">Algae_yield_cost_factor/M133</f>
        <v>0.0864059007563068</v>
      </c>
      <c r="BF133" s="18" t="n">
        <f aca="false">Algae_yield_cost_factor/N133</f>
        <v>0.0841224036104664</v>
      </c>
      <c r="BG133" s="18" t="n">
        <f aca="false">Algae_yield_cost_factor/O133</f>
        <v>0.0808644922797837</v>
      </c>
      <c r="BH133" s="18" t="n">
        <f aca="false">Algae_yield_cost_factor/P133</f>
        <v>0.0765407835210012</v>
      </c>
      <c r="BI133" s="18" t="n">
        <f aca="false">Algae_yield_cost_factor/Q133</f>
        <v>0.0713222647816616</v>
      </c>
      <c r="BJ133" s="18" t="n">
        <f aca="false">Algae_yield_cost_factor/R133</f>
        <v>0.0656995311262426</v>
      </c>
      <c r="BK133" s="18" t="n">
        <f aca="false">Algae_yield_cost_factor/S133</f>
        <v>0.0603358506982459</v>
      </c>
      <c r="BL133" s="18" t="n">
        <f aca="false">Algae_yield_cost_factor/T133</f>
        <v>0.0557818456875139</v>
      </c>
      <c r="BM133" s="18" t="n">
        <f aca="false">Algae_yield_cost_factor/U133</f>
        <v>0.0522823301098195</v>
      </c>
      <c r="BN133" s="18" t="n">
        <f aca="false">Algae_yield_cost_factor/V133</f>
        <v>0.0497937098219499</v>
      </c>
      <c r="BO133" s="18" t="n">
        <f aca="false">Algae_yield_cost_factor/W133</f>
        <v>0.048119904644191</v>
      </c>
      <c r="BP133" s="18" t="n">
        <f aca="false">Algae_yield_cost_factor/X133</f>
        <v>0.0470359175751235</v>
      </c>
      <c r="BQ133" s="18" t="n">
        <f aca="false">Algae_yield_cost_factor/Y133</f>
        <v>0.0463510065016852</v>
      </c>
      <c r="BR133" s="18" t="n">
        <f aca="false">Algae_yield_cost_factor/Z133</f>
        <v>0.0459249696779084</v>
      </c>
      <c r="BS133" s="18" t="n">
        <f aca="false">Algae_yield_cost_factor/AA133</f>
        <v>0.0456625360036662</v>
      </c>
      <c r="BT133" s="18" t="n">
        <f aca="false">Algae_yield_cost_factor/AB133</f>
        <v>0.0455018511377023</v>
      </c>
      <c r="BU133" s="18" t="n">
        <f aca="false">Algae_yield_cost_factor/AC133</f>
        <v>0.0454038285516283</v>
      </c>
    </row>
    <row r="134" customFormat="false" ht="15" hidden="false" customHeight="false" outlineLevel="0" collapsed="false">
      <c r="A134" s="18" t="s">
        <v>710</v>
      </c>
      <c r="B134" s="18" t="s">
        <v>22</v>
      </c>
      <c r="C134" s="18" t="s">
        <v>687</v>
      </c>
      <c r="D134" s="18" t="s">
        <v>687</v>
      </c>
      <c r="E134" s="185" t="n">
        <v>7.71375</v>
      </c>
      <c r="F134" s="18" t="n">
        <f aca="false">E134/$B$2*$F$3/1000</f>
        <v>0.0188986875</v>
      </c>
      <c r="G134" s="18" t="n">
        <f aca="false">LOOKUP(RIGHT(D134,5),Ref!$C$4:$C$21,Ref!$E$4:$E$21)*$G$3</f>
        <v>4.5</v>
      </c>
      <c r="H134" s="222" t="n">
        <f aca="false">$E134</f>
        <v>7.71375</v>
      </c>
      <c r="I134" s="185" t="n">
        <f aca="false">$E134</f>
        <v>7.71375</v>
      </c>
      <c r="J134" s="185" t="n">
        <f aca="false">$E134</f>
        <v>7.71375</v>
      </c>
      <c r="K134" s="185" t="n">
        <f aca="false">$E134</f>
        <v>7.71375</v>
      </c>
      <c r="L134" s="185" t="n">
        <f aca="false">$E134</f>
        <v>7.71375</v>
      </c>
      <c r="M134" s="185" t="n">
        <f aca="false">M$3*$E134</f>
        <v>8.07958132922346</v>
      </c>
      <c r="N134" s="185" t="n">
        <f aca="false">N$3*$E134</f>
        <v>8.29890103613887</v>
      </c>
      <c r="O134" s="185" t="n">
        <f aca="false">O$3*$E134</f>
        <v>8.63325153974811</v>
      </c>
      <c r="P134" s="185" t="n">
        <f aca="false">P$3*$E134</f>
        <v>9.12093488426128</v>
      </c>
      <c r="Q134" s="185" t="n">
        <f aca="false">Q$3*$E134</f>
        <v>9.7882968890928</v>
      </c>
      <c r="R134" s="185" t="n">
        <f aca="false">R$3*$E134</f>
        <v>10.6260043339417</v>
      </c>
      <c r="S134" s="185" t="n">
        <f aca="false">S$3*$E134</f>
        <v>11.570625</v>
      </c>
      <c r="T134" s="185" t="n">
        <f aca="false">T$3*$E134</f>
        <v>12.5152456660583</v>
      </c>
      <c r="U134" s="185" t="n">
        <f aca="false">U$3*$E134</f>
        <v>13.3529531109072</v>
      </c>
      <c r="V134" s="185" t="n">
        <f aca="false">V$3*$E134</f>
        <v>14.0203151157387</v>
      </c>
      <c r="W134" s="185" t="n">
        <f aca="false">W$3*$E134</f>
        <v>14.5079984602519</v>
      </c>
      <c r="X134" s="185" t="n">
        <f aca="false">X$3*$E134</f>
        <v>14.8423489638611</v>
      </c>
      <c r="Y134" s="185" t="n">
        <f aca="false">Y$3*$E134</f>
        <v>15.0616686707765</v>
      </c>
      <c r="Z134" s="185" t="n">
        <f aca="false">Z$3*$E134</f>
        <v>15.2013927800417</v>
      </c>
      <c r="AA134" s="185" t="n">
        <f aca="false">AA$3*$E134</f>
        <v>15.2887588729049</v>
      </c>
      <c r="AB134" s="185" t="n">
        <f aca="false">AB$3*$E134</f>
        <v>15.3427494712833</v>
      </c>
      <c r="AC134" s="185" t="n">
        <f aca="false">AC$3*$E134</f>
        <v>15.3758730211828</v>
      </c>
      <c r="AD134" s="219" t="n">
        <f aca="false">Algae_electricity_factor/H134</f>
        <v>0.0017817011315546</v>
      </c>
      <c r="AE134" s="220" t="n">
        <f aca="false">Algae_electricity_factor/I134</f>
        <v>0.0017817011315546</v>
      </c>
      <c r="AF134" s="220" t="n">
        <f aca="false">Algae_electricity_factor/J134</f>
        <v>0.0017817011315546</v>
      </c>
      <c r="AG134" s="220" t="n">
        <f aca="false">Algae_electricity_factor/K134</f>
        <v>0.0017817011315546</v>
      </c>
      <c r="AH134" s="220" t="n">
        <f aca="false">Algae_electricity_factor/L134</f>
        <v>0.0017817011315546</v>
      </c>
      <c r="AI134" s="220" t="n">
        <f aca="false">Algae_electricity_factor/M134</f>
        <v>0.00170102837554458</v>
      </c>
      <c r="AJ134" s="220" t="n">
        <f aca="false">Algae_electricity_factor/N134</f>
        <v>0.00165607434570922</v>
      </c>
      <c r="AK134" s="220" t="n">
        <f aca="false">Algae_electricity_factor/O134</f>
        <v>0.00159193752669579</v>
      </c>
      <c r="AL134" s="220" t="n">
        <f aca="false">Algae_electricity_factor/P134</f>
        <v>0.00150681890375565</v>
      </c>
      <c r="AM134" s="220" t="n">
        <f aca="false">Algae_electricity_factor/Q134</f>
        <v>0.00140408461852479</v>
      </c>
      <c r="AN134" s="220" t="n">
        <f aca="false">Algae_electricity_factor/R134</f>
        <v>0.00129339276284966</v>
      </c>
      <c r="AO134" s="220" t="n">
        <f aca="false">Algae_electricity_factor/S134</f>
        <v>0.00118780075436973</v>
      </c>
      <c r="AP134" s="220" t="n">
        <f aca="false">Algae_electricity_factor/T134</f>
        <v>0.00109814840796951</v>
      </c>
      <c r="AQ134" s="220" t="n">
        <f aca="false">Algae_electricity_factor/U134</f>
        <v>0.00102925525083309</v>
      </c>
      <c r="AR134" s="220" t="n">
        <f aca="false">Algae_electricity_factor/V134</f>
        <v>0.00098026306756124</v>
      </c>
      <c r="AS134" s="220" t="n">
        <f aca="false">Algae_electricity_factor/W134</f>
        <v>0.000947311728849649</v>
      </c>
      <c r="AT134" s="220" t="n">
        <f aca="false">Algae_electricity_factor/X134</f>
        <v>0.00092597183484857</v>
      </c>
      <c r="AU134" s="220" t="n">
        <f aca="false">Algae_electricity_factor/Y134</f>
        <v>0.000912488344016976</v>
      </c>
      <c r="AV134" s="220" t="n">
        <f aca="false">Algae_electricity_factor/Z134</f>
        <v>0.000904101176937784</v>
      </c>
      <c r="AW134" s="220" t="n">
        <f aca="false">Algae_electricity_factor/AA134</f>
        <v>0.000898934780630622</v>
      </c>
      <c r="AX134" s="220" t="n">
        <f aca="false">Algae_electricity_factor/AB134</f>
        <v>0.000895771460601172</v>
      </c>
      <c r="AY134" s="220" t="n">
        <f aca="false">Algae_electricity_factor/AC134</f>
        <v>0.000893841740536956</v>
      </c>
      <c r="AZ134" s="211" t="n">
        <f aca="false">Algae_yield_cost_factor/H134</f>
        <v>0.0986345965692715</v>
      </c>
      <c r="BA134" s="18" t="n">
        <f aca="false">Algae_yield_cost_factor/I134</f>
        <v>0.0986345965692715</v>
      </c>
      <c r="BB134" s="18" t="n">
        <f aca="false">Algae_yield_cost_factor/J134</f>
        <v>0.0986345965692715</v>
      </c>
      <c r="BC134" s="18" t="n">
        <f aca="false">Algae_yield_cost_factor/K134</f>
        <v>0.0986345965692715</v>
      </c>
      <c r="BD134" s="18" t="n">
        <f aca="false">Algae_yield_cost_factor/L134</f>
        <v>0.0986345965692715</v>
      </c>
      <c r="BE134" s="18" t="n">
        <f aca="false">Algae_yield_cost_factor/M134</f>
        <v>0.0941685699151622</v>
      </c>
      <c r="BF134" s="18" t="n">
        <f aca="false">Algae_yield_cost_factor/N134</f>
        <v>0.0916799243626366</v>
      </c>
      <c r="BG134" s="18" t="n">
        <f aca="false">Algae_yield_cost_factor/O134</f>
        <v>0.0881293236717642</v>
      </c>
      <c r="BH134" s="18" t="n">
        <f aca="false">Algae_yield_cost_factor/P134</f>
        <v>0.0834171747678078</v>
      </c>
      <c r="BI134" s="18" t="n">
        <f aca="false">Algae_yield_cost_factor/Q134</f>
        <v>0.0777298265374472</v>
      </c>
      <c r="BJ134" s="18" t="n">
        <f aca="false">Algae_yield_cost_factor/R134</f>
        <v>0.0716019488958729</v>
      </c>
      <c r="BK134" s="18" t="n">
        <f aca="false">Algae_yield_cost_factor/S134</f>
        <v>0.0657563977128477</v>
      </c>
      <c r="BL134" s="18" t="n">
        <f aca="false">Algae_yield_cost_factor/T134</f>
        <v>0.0607932628401889</v>
      </c>
      <c r="BM134" s="18" t="n">
        <f aca="false">Algae_yield_cost_factor/U134</f>
        <v>0.0569793522801134</v>
      </c>
      <c r="BN134" s="18" t="n">
        <f aca="false">Algae_yield_cost_factor/V134</f>
        <v>0.054267155410232</v>
      </c>
      <c r="BO134" s="18" t="n">
        <f aca="false">Algae_yield_cost_factor/W134</f>
        <v>0.0524429762913697</v>
      </c>
      <c r="BP134" s="18" t="n">
        <f aca="false">Algae_yield_cost_factor/X134</f>
        <v>0.0512616042877549</v>
      </c>
      <c r="BQ134" s="18" t="n">
        <f aca="false">Algae_yield_cost_factor/Y134</f>
        <v>0.050515161096489</v>
      </c>
      <c r="BR134" s="18" t="n">
        <f aca="false">Algae_yield_cost_factor/Z134</f>
        <v>0.0500508493067258</v>
      </c>
      <c r="BS134" s="18" t="n">
        <f aca="false">Algae_yield_cost_factor/AA134</f>
        <v>0.0497648387034608</v>
      </c>
      <c r="BT134" s="18" t="n">
        <f aca="false">Algae_yield_cost_factor/AB134</f>
        <v>0.0495897179778809</v>
      </c>
      <c r="BU134" s="18" t="n">
        <f aca="false">Algae_yield_cost_factor/AC134</f>
        <v>0.0494828890846088</v>
      </c>
    </row>
    <row r="135" customFormat="false" ht="15" hidden="false" customHeight="false" outlineLevel="0" collapsed="false">
      <c r="A135" s="18" t="s">
        <v>710</v>
      </c>
      <c r="B135" s="18" t="s">
        <v>22</v>
      </c>
      <c r="C135" s="18" t="s">
        <v>688</v>
      </c>
      <c r="D135" s="18" t="s">
        <v>688</v>
      </c>
      <c r="E135" s="185" t="n">
        <v>8.382</v>
      </c>
      <c r="F135" s="18" t="n">
        <f aca="false">E135/$B$2*$F$3/1000</f>
        <v>0.0205359</v>
      </c>
      <c r="G135" s="18" t="n">
        <f aca="false">LOOKUP(RIGHT(D135,5),Ref!$C$4:$C$21,Ref!$E$4:$E$21)*$G$3</f>
        <v>4.5</v>
      </c>
      <c r="H135" s="222" t="n">
        <f aca="false">$E135</f>
        <v>8.382</v>
      </c>
      <c r="I135" s="185" t="n">
        <f aca="false">$E135</f>
        <v>8.382</v>
      </c>
      <c r="J135" s="185" t="n">
        <f aca="false">$E135</f>
        <v>8.382</v>
      </c>
      <c r="K135" s="185" t="n">
        <f aca="false">$E135</f>
        <v>8.382</v>
      </c>
      <c r="L135" s="185" t="n">
        <f aca="false">$E135</f>
        <v>8.382</v>
      </c>
      <c r="M135" s="185" t="n">
        <f aca="false">M$3*$E135</f>
        <v>8.77952366897437</v>
      </c>
      <c r="N135" s="185" t="n">
        <f aca="false">N$3*$E135</f>
        <v>9.01784326493806</v>
      </c>
      <c r="O135" s="185" t="n">
        <f aca="false">O$3*$E135</f>
        <v>9.38115889238939</v>
      </c>
      <c r="P135" s="185" t="n">
        <f aca="false">P$3*$E135</f>
        <v>9.91109074054488</v>
      </c>
      <c r="Q135" s="185" t="n">
        <f aca="false">Q$3*$E135</f>
        <v>10.6362669939233</v>
      </c>
      <c r="R135" s="185" t="n">
        <f aca="false">R$3*$E135</f>
        <v>11.5465458858661</v>
      </c>
      <c r="S135" s="185" t="n">
        <f aca="false">S$3*$E135</f>
        <v>12.573</v>
      </c>
      <c r="T135" s="185" t="n">
        <f aca="false">T$3*$E135</f>
        <v>13.5994541141339</v>
      </c>
      <c r="U135" s="185" t="n">
        <f aca="false">U$3*$E135</f>
        <v>14.5097330060767</v>
      </c>
      <c r="V135" s="185" t="n">
        <f aca="false">V$3*$E135</f>
        <v>15.2349092594551</v>
      </c>
      <c r="W135" s="185" t="n">
        <f aca="false">W$3*$E135</f>
        <v>15.7648411076106</v>
      </c>
      <c r="X135" s="185" t="n">
        <f aca="false">X$3*$E135</f>
        <v>16.1281567350619</v>
      </c>
      <c r="Y135" s="185" t="n">
        <f aca="false">Y$3*$E135</f>
        <v>16.3664763310256</v>
      </c>
      <c r="Z135" s="185" t="n">
        <f aca="false">Z$3*$E135</f>
        <v>16.5183048818421</v>
      </c>
      <c r="AA135" s="185" t="n">
        <f aca="false">AA$3*$E135</f>
        <v>16.6132395880977</v>
      </c>
      <c r="AB135" s="185" t="n">
        <f aca="false">AB$3*$E135</f>
        <v>16.6719074468704</v>
      </c>
      <c r="AC135" s="185" t="n">
        <f aca="false">AC$3*$E135</f>
        <v>16.7079005235526</v>
      </c>
      <c r="AD135" s="219" t="n">
        <f aca="false">Algae_electricity_factor/H135</f>
        <v>0.00163965606102711</v>
      </c>
      <c r="AE135" s="220" t="n">
        <f aca="false">Algae_electricity_factor/I135</f>
        <v>0.00163965606102711</v>
      </c>
      <c r="AF135" s="220" t="n">
        <f aca="false">Algae_electricity_factor/J135</f>
        <v>0.00163965606102711</v>
      </c>
      <c r="AG135" s="220" t="n">
        <f aca="false">Algae_electricity_factor/K135</f>
        <v>0.00163965606102711</v>
      </c>
      <c r="AH135" s="220" t="n">
        <f aca="false">Algae_electricity_factor/L135</f>
        <v>0.00163965606102711</v>
      </c>
      <c r="AI135" s="220" t="n">
        <f aca="false">Algae_electricity_factor/M135</f>
        <v>0.0015654148928486</v>
      </c>
      <c r="AJ135" s="220" t="n">
        <f aca="false">Algae_electricity_factor/N135</f>
        <v>0.00152404479649422</v>
      </c>
      <c r="AK135" s="220" t="n">
        <f aca="false">Algae_electricity_factor/O135</f>
        <v>0.00146502124750056</v>
      </c>
      <c r="AL135" s="220" t="n">
        <f aca="false">Algae_electricity_factor/P135</f>
        <v>0.00138668865650742</v>
      </c>
      <c r="AM135" s="220" t="n">
        <f aca="false">Algae_electricity_factor/Q135</f>
        <v>0.00129214480149673</v>
      </c>
      <c r="AN135" s="220" t="n">
        <f aca="false">Algae_electricity_factor/R135</f>
        <v>0.00119027778864609</v>
      </c>
      <c r="AO135" s="220" t="n">
        <f aca="false">Algae_electricity_factor/S135</f>
        <v>0.00109310404068474</v>
      </c>
      <c r="AP135" s="220" t="n">
        <f aca="false">Algae_electricity_factor/T135</f>
        <v>0.00101059917465698</v>
      </c>
      <c r="AQ135" s="220" t="n">
        <f aca="false">Algae_electricity_factor/U135</f>
        <v>0.000947198483788325</v>
      </c>
      <c r="AR135" s="220" t="n">
        <f aca="false">Algae_electricity_factor/V135</f>
        <v>0.000902112173395433</v>
      </c>
      <c r="AS135" s="220" t="n">
        <f aca="false">Algae_electricity_factor/W135</f>
        <v>0.000871787860703171</v>
      </c>
      <c r="AT135" s="220" t="n">
        <f aca="false">Algae_electricity_factor/X135</f>
        <v>0.000852149277149028</v>
      </c>
      <c r="AU135" s="220" t="n">
        <f aca="false">Algae_electricity_factor/Y135</f>
        <v>0.000839740749661292</v>
      </c>
      <c r="AV135" s="220" t="n">
        <f aca="false">Algae_electricity_factor/Z135</f>
        <v>0.000832022244524437</v>
      </c>
      <c r="AW135" s="220" t="n">
        <f aca="false">Algae_electricity_factor/AA135</f>
        <v>0.000827267736111842</v>
      </c>
      <c r="AX135" s="220" t="n">
        <f aca="false">Algae_electricity_factor/AB135</f>
        <v>0.000824356609903637</v>
      </c>
      <c r="AY135" s="220" t="n">
        <f aca="false">Algae_electricity_factor/AC135</f>
        <v>0.000822580735631943</v>
      </c>
      <c r="AZ135" s="211" t="n">
        <f aca="false">Algae_yield_cost_factor/H135</f>
        <v>0.0907710116065638</v>
      </c>
      <c r="BA135" s="18" t="n">
        <f aca="false">Algae_yield_cost_factor/I135</f>
        <v>0.0907710116065638</v>
      </c>
      <c r="BB135" s="18" t="n">
        <f aca="false">Algae_yield_cost_factor/J135</f>
        <v>0.0907710116065638</v>
      </c>
      <c r="BC135" s="18" t="n">
        <f aca="false">Algae_yield_cost_factor/K135</f>
        <v>0.0907710116065638</v>
      </c>
      <c r="BD135" s="18" t="n">
        <f aca="false">Algae_yield_cost_factor/L135</f>
        <v>0.0907710116065638</v>
      </c>
      <c r="BE135" s="18" t="n">
        <f aca="false">Algae_yield_cost_factor/M135</f>
        <v>0.086661036290036</v>
      </c>
      <c r="BF135" s="18" t="n">
        <f aca="false">Algae_yield_cost_factor/N135</f>
        <v>0.084370796534513</v>
      </c>
      <c r="BG135" s="18" t="n">
        <f aca="false">Algae_yield_cost_factor/O135</f>
        <v>0.081103265386909</v>
      </c>
      <c r="BH135" s="18" t="n">
        <f aca="false">Algae_yield_cost_factor/P135</f>
        <v>0.0767667897715554</v>
      </c>
      <c r="BI135" s="18" t="n">
        <f aca="false">Algae_yield_cost_factor/Q135</f>
        <v>0.0715328620201901</v>
      </c>
      <c r="BJ135" s="18" t="n">
        <f aca="false">Algae_yield_cost_factor/R135</f>
        <v>0.065893525804765</v>
      </c>
      <c r="BK135" s="18" t="n">
        <f aca="false">Algae_yield_cost_factor/S135</f>
        <v>0.0605140077377092</v>
      </c>
      <c r="BL135" s="18" t="n">
        <f aca="false">Algae_yield_cost_factor/T135</f>
        <v>0.055946555861788</v>
      </c>
      <c r="BM135" s="18" t="n">
        <f aca="false">Algae_yield_cost_factor/U135</f>
        <v>0.0524367070688052</v>
      </c>
      <c r="BN135" s="18" t="n">
        <f aca="false">Algae_yield_cost_factor/V135</f>
        <v>0.049940738492684</v>
      </c>
      <c r="BO135" s="18" t="n">
        <f aca="false">Algae_yield_cost_factor/W135</f>
        <v>0.0482619909768018</v>
      </c>
      <c r="BP135" s="18" t="n">
        <f aca="false">Algae_yield_cost_factor/X135</f>
        <v>0.0471748031585146</v>
      </c>
      <c r="BQ135" s="18" t="n">
        <f aca="false">Algae_yield_cost_factor/Y135</f>
        <v>0.0464878697098594</v>
      </c>
      <c r="BR135" s="18" t="n">
        <f aca="false">Algae_yield_cost_factor/Z135</f>
        <v>0.0460605749033353</v>
      </c>
      <c r="BS135" s="18" t="n">
        <f aca="false">Algae_yield_cost_factor/AA135</f>
        <v>0.0457973663265116</v>
      </c>
      <c r="BT135" s="18" t="n">
        <f aca="false">Algae_yield_cost_factor/AB135</f>
        <v>0.0456362069973608</v>
      </c>
      <c r="BU135" s="18" t="n">
        <f aca="false">Algae_yield_cost_factor/AC135</f>
        <v>0.045537894974517</v>
      </c>
    </row>
    <row r="136" customFormat="false" ht="15" hidden="false" customHeight="false" outlineLevel="0" collapsed="false">
      <c r="A136" s="18" t="s">
        <v>711</v>
      </c>
      <c r="B136" s="18" t="s">
        <v>22</v>
      </c>
      <c r="C136" s="18" t="s">
        <v>690</v>
      </c>
      <c r="D136" s="18" t="s">
        <v>690</v>
      </c>
      <c r="E136" s="185" t="n">
        <v>7.99425</v>
      </c>
      <c r="F136" s="18" t="n">
        <f aca="false">E136/$B$2*$F$3/1000</f>
        <v>0.0195859125</v>
      </c>
      <c r="G136" s="18" t="n">
        <f aca="false">LOOKUP(RIGHT(D136,5),Ref!$C$4:$C$21,Ref!$E$4:$E$21)*$G$3</f>
        <v>1.5</v>
      </c>
      <c r="H136" s="222" t="n">
        <f aca="false">$E136</f>
        <v>7.99425</v>
      </c>
      <c r="I136" s="185" t="n">
        <f aca="false">$E136</f>
        <v>7.99425</v>
      </c>
      <c r="J136" s="185" t="n">
        <f aca="false">$E136</f>
        <v>7.99425</v>
      </c>
      <c r="K136" s="185" t="n">
        <f aca="false">$E136</f>
        <v>7.99425</v>
      </c>
      <c r="L136" s="185" t="n">
        <f aca="false">$E136</f>
        <v>7.99425</v>
      </c>
      <c r="M136" s="185" t="n">
        <f aca="false">M$3*$E136</f>
        <v>8.37338428664976</v>
      </c>
      <c r="N136" s="185" t="n">
        <f aca="false">N$3*$E136</f>
        <v>8.60067925563483</v>
      </c>
      <c r="O136" s="185" t="n">
        <f aca="false">O$3*$E136</f>
        <v>8.94718795937531</v>
      </c>
      <c r="P136" s="185" t="n">
        <f aca="false">P$3*$E136</f>
        <v>9.45260524368896</v>
      </c>
      <c r="Q136" s="185" t="n">
        <f aca="false">Q$3*$E136</f>
        <v>10.1442349577871</v>
      </c>
      <c r="R136" s="185" t="n">
        <f aca="false">R$3*$E136</f>
        <v>11.0124044915396</v>
      </c>
      <c r="S136" s="185" t="n">
        <f aca="false">S$3*$E136</f>
        <v>11.991375</v>
      </c>
      <c r="T136" s="185" t="n">
        <f aca="false">T$3*$E136</f>
        <v>12.9703455084604</v>
      </c>
      <c r="U136" s="185" t="n">
        <f aca="false">U$3*$E136</f>
        <v>13.8385150422129</v>
      </c>
      <c r="V136" s="185" t="n">
        <f aca="false">V$3*$E136</f>
        <v>14.530144756311</v>
      </c>
      <c r="W136" s="185" t="n">
        <f aca="false">W$3*$E136</f>
        <v>15.0355620406247</v>
      </c>
      <c r="X136" s="185" t="n">
        <f aca="false">X$3*$E136</f>
        <v>15.3820707443652</v>
      </c>
      <c r="Y136" s="185" t="n">
        <f aca="false">Y$3*$E136</f>
        <v>15.6093657133502</v>
      </c>
      <c r="Z136" s="185" t="n">
        <f aca="false">Z$3*$E136</f>
        <v>15.754170699316</v>
      </c>
      <c r="AA136" s="185" t="n">
        <f aca="false">AA$3*$E136</f>
        <v>15.8447137410106</v>
      </c>
      <c r="AB136" s="185" t="n">
        <f aca="false">AB$3*$E136</f>
        <v>15.9006676338754</v>
      </c>
      <c r="AC136" s="185" t="n">
        <f aca="false">AC$3*$E136</f>
        <v>15.9349956764985</v>
      </c>
      <c r="AD136" s="219" t="n">
        <f aca="false">Algae_electricity_factor/H136</f>
        <v>0.00171918530237724</v>
      </c>
      <c r="AE136" s="220" t="n">
        <f aca="false">Algae_electricity_factor/I136</f>
        <v>0.00171918530237724</v>
      </c>
      <c r="AF136" s="220" t="n">
        <f aca="false">Algae_electricity_factor/J136</f>
        <v>0.00171918530237724</v>
      </c>
      <c r="AG136" s="220" t="n">
        <f aca="false">Algae_electricity_factor/K136</f>
        <v>0.00171918530237724</v>
      </c>
      <c r="AH136" s="220" t="n">
        <f aca="false">Algae_electricity_factor/L136</f>
        <v>0.00171918530237724</v>
      </c>
      <c r="AI136" s="220" t="n">
        <f aca="false">Algae_electricity_factor/M136</f>
        <v>0.00164134316938512</v>
      </c>
      <c r="AJ136" s="220" t="n">
        <f aca="false">Algae_electricity_factor/N136</f>
        <v>0.00159796647392995</v>
      </c>
      <c r="AK136" s="220" t="n">
        <f aca="false">Algae_electricity_factor/O136</f>
        <v>0.00153608006961875</v>
      </c>
      <c r="AL136" s="220" t="n">
        <f aca="false">Algae_electricity_factor/P136</f>
        <v>0.00145394806502738</v>
      </c>
      <c r="AM136" s="220" t="n">
        <f aca="false">Algae_electricity_factor/Q136</f>
        <v>0.00135481849155901</v>
      </c>
      <c r="AN136" s="220" t="n">
        <f aca="false">Algae_electricity_factor/R136</f>
        <v>0.0012480105606444</v>
      </c>
      <c r="AO136" s="220" t="n">
        <f aca="false">Algae_electricity_factor/S136</f>
        <v>0.00114612353491816</v>
      </c>
      <c r="AP136" s="220" t="n">
        <f aca="false">Algae_electricity_factor/T136</f>
        <v>0.00105961688488286</v>
      </c>
      <c r="AQ136" s="220" t="n">
        <f aca="false">Algae_electricity_factor/U136</f>
        <v>0.000993141031505612</v>
      </c>
      <c r="AR136" s="220" t="n">
        <f aca="false">Algae_electricity_factor/V136</f>
        <v>0.000945867872208214</v>
      </c>
      <c r="AS136" s="220" t="n">
        <f aca="false">Algae_electricity_factor/W136</f>
        <v>0.000914072720819837</v>
      </c>
      <c r="AT136" s="220" t="n">
        <f aca="false">Algae_electricity_factor/X136</f>
        <v>0.000893481595029322</v>
      </c>
      <c r="AU136" s="220" t="n">
        <f aca="false">Algae_electricity_factor/Y136</f>
        <v>0.000880471209139187</v>
      </c>
      <c r="AV136" s="220" t="n">
        <f aca="false">Algae_electricity_factor/Z136</f>
        <v>0.000872378328624178</v>
      </c>
      <c r="AW136" s="220" t="n">
        <f aca="false">Algae_electricity_factor/AA136</f>
        <v>0.000867393209380425</v>
      </c>
      <c r="AX136" s="220" t="n">
        <f aca="false">Algae_electricity_factor/AB136</f>
        <v>0.000864340883036218</v>
      </c>
      <c r="AY136" s="220" t="n">
        <f aca="false">Algae_electricity_factor/AC136</f>
        <v>0.00086247887244794</v>
      </c>
      <c r="AZ136" s="211" t="n">
        <f aca="false">Algae_yield_cost_factor/H136</f>
        <v>0.0951737335317532</v>
      </c>
      <c r="BA136" s="18" t="n">
        <f aca="false">Algae_yield_cost_factor/I136</f>
        <v>0.0951737335317532</v>
      </c>
      <c r="BB136" s="18" t="n">
        <f aca="false">Algae_yield_cost_factor/J136</f>
        <v>0.0951737335317532</v>
      </c>
      <c r="BC136" s="18" t="n">
        <f aca="false">Algae_yield_cost_factor/K136</f>
        <v>0.0951737335317532</v>
      </c>
      <c r="BD136" s="18" t="n">
        <f aca="false">Algae_yield_cost_factor/L136</f>
        <v>0.0951737335317532</v>
      </c>
      <c r="BE136" s="18" t="n">
        <f aca="false">Algae_yield_cost_factor/M136</f>
        <v>0.0908644095672617</v>
      </c>
      <c r="BF136" s="18" t="n">
        <f aca="false">Algae_yield_cost_factor/N136</f>
        <v>0.088463084911316</v>
      </c>
      <c r="BG136" s="18" t="n">
        <f aca="false">Algae_yield_cost_factor/O136</f>
        <v>0.0850370667008251</v>
      </c>
      <c r="BH136" s="18" t="n">
        <f aca="false">Algae_yield_cost_factor/P136</f>
        <v>0.0804902563549022</v>
      </c>
      <c r="BI136" s="18" t="n">
        <f aca="false">Algae_yield_cost_factor/Q136</f>
        <v>0.0750024642028</v>
      </c>
      <c r="BJ136" s="18" t="n">
        <f aca="false">Algae_yield_cost_factor/R136</f>
        <v>0.0690895998118072</v>
      </c>
      <c r="BK136" s="18" t="n">
        <f aca="false">Algae_yield_cost_factor/S136</f>
        <v>0.0634491556878355</v>
      </c>
      <c r="BL136" s="18" t="n">
        <f aca="false">Algae_yield_cost_factor/T136</f>
        <v>0.0586601658984279</v>
      </c>
      <c r="BM136" s="18" t="n">
        <f aca="false">Algae_yield_cost_factor/U136</f>
        <v>0.054980076761513</v>
      </c>
      <c r="BN136" s="18" t="n">
        <f aca="false">Algae_yield_cost_factor/V136</f>
        <v>0.0523630446940835</v>
      </c>
      <c r="BO136" s="18" t="n">
        <f aca="false">Algae_yield_cost_factor/W136</f>
        <v>0.0506028718600936</v>
      </c>
      <c r="BP136" s="18" t="n">
        <f aca="false">Algae_yield_cost_factor/X136</f>
        <v>0.0494629515057284</v>
      </c>
      <c r="BQ136" s="18" t="n">
        <f aca="false">Algae_yield_cost_factor/Y136</f>
        <v>0.0487426993036297</v>
      </c>
      <c r="BR136" s="18" t="n">
        <f aca="false">Algae_yield_cost_factor/Z136</f>
        <v>0.0482946791556126</v>
      </c>
      <c r="BS136" s="18" t="n">
        <f aca="false">Algae_yield_cost_factor/AA136</f>
        <v>0.0480187040121113</v>
      </c>
      <c r="BT136" s="18" t="n">
        <f aca="false">Algae_yield_cost_factor/AB136</f>
        <v>0.0478497278733938</v>
      </c>
      <c r="BU136" s="18" t="n">
        <f aca="false">Algae_yield_cost_factor/AC136</f>
        <v>0.0477466473623419</v>
      </c>
    </row>
    <row r="137" customFormat="false" ht="15" hidden="false" customHeight="false" outlineLevel="0" collapsed="false">
      <c r="A137" s="18" t="s">
        <v>711</v>
      </c>
      <c r="B137" s="18" t="s">
        <v>22</v>
      </c>
      <c r="C137" s="18" t="s">
        <v>691</v>
      </c>
      <c r="D137" s="18" t="s">
        <v>691</v>
      </c>
      <c r="E137" s="185" t="n">
        <v>8.35725</v>
      </c>
      <c r="F137" s="18" t="n">
        <f aca="false">E137/$B$2*$F$3/1000</f>
        <v>0.0204752625</v>
      </c>
      <c r="G137" s="18" t="n">
        <f aca="false">LOOKUP(RIGHT(D137,5),Ref!$C$4:$C$21,Ref!$E$4:$E$21)*$G$3</f>
        <v>2</v>
      </c>
      <c r="H137" s="222" t="n">
        <f aca="false">$E137</f>
        <v>8.35725</v>
      </c>
      <c r="I137" s="185" t="n">
        <f aca="false">$E137</f>
        <v>8.35725</v>
      </c>
      <c r="J137" s="185" t="n">
        <f aca="false">$E137</f>
        <v>8.35725</v>
      </c>
      <c r="K137" s="185" t="n">
        <f aca="false">$E137</f>
        <v>8.35725</v>
      </c>
      <c r="L137" s="185" t="n">
        <f aca="false">$E137</f>
        <v>8.35725</v>
      </c>
      <c r="M137" s="185" t="n">
        <f aca="false">M$3*$E137</f>
        <v>8.75359987861322</v>
      </c>
      <c r="N137" s="185" t="n">
        <f aca="false">N$3*$E137</f>
        <v>8.99121577498254</v>
      </c>
      <c r="O137" s="185" t="n">
        <f aca="false">O$3*$E137</f>
        <v>9.35345862006934</v>
      </c>
      <c r="P137" s="185" t="n">
        <f aca="false">P$3*$E137</f>
        <v>9.88182570883067</v>
      </c>
      <c r="Q137" s="185" t="n">
        <f aca="false">Q$3*$E137</f>
        <v>10.6048606937444</v>
      </c>
      <c r="R137" s="185" t="n">
        <f aca="false">R$3*$E137</f>
        <v>11.5124517543133</v>
      </c>
      <c r="S137" s="185" t="n">
        <f aca="false">S$3*$E137</f>
        <v>12.535875</v>
      </c>
      <c r="T137" s="185" t="n">
        <f aca="false">T$3*$E137</f>
        <v>13.5592982456867</v>
      </c>
      <c r="U137" s="185" t="n">
        <f aca="false">U$3*$E137</f>
        <v>14.4668893062556</v>
      </c>
      <c r="V137" s="185" t="n">
        <f aca="false">V$3*$E137</f>
        <v>15.1899242911693</v>
      </c>
      <c r="W137" s="185" t="n">
        <f aca="false">W$3*$E137</f>
        <v>15.7182913799307</v>
      </c>
      <c r="X137" s="185" t="n">
        <f aca="false">X$3*$E137</f>
        <v>16.0805342250175</v>
      </c>
      <c r="Y137" s="185" t="n">
        <f aca="false">Y$3*$E137</f>
        <v>16.3181501213868</v>
      </c>
      <c r="Z137" s="185" t="n">
        <f aca="false">Z$3*$E137</f>
        <v>16.4695303595532</v>
      </c>
      <c r="AA137" s="185" t="n">
        <f aca="false">AA$3*$E137</f>
        <v>16.5641847467943</v>
      </c>
      <c r="AB137" s="185" t="n">
        <f aca="false">AB$3*$E137</f>
        <v>16.6226793737005</v>
      </c>
      <c r="AC137" s="185" t="n">
        <f aca="false">AC$3*$E137</f>
        <v>16.658566171613</v>
      </c>
      <c r="AD137" s="219" t="n">
        <f aca="false">Algae_electricity_factor/H137</f>
        <v>0.00164451190326115</v>
      </c>
      <c r="AE137" s="220" t="n">
        <f aca="false">Algae_electricity_factor/I137</f>
        <v>0.00164451190326115</v>
      </c>
      <c r="AF137" s="220" t="n">
        <f aca="false">Algae_electricity_factor/J137</f>
        <v>0.00164451190326115</v>
      </c>
      <c r="AG137" s="220" t="n">
        <f aca="false">Algae_electricity_factor/K137</f>
        <v>0.00164451190326115</v>
      </c>
      <c r="AH137" s="220" t="n">
        <f aca="false">Algae_electricity_factor/L137</f>
        <v>0.00164451190326115</v>
      </c>
      <c r="AI137" s="220" t="n">
        <f aca="false">Algae_electricity_factor/M137</f>
        <v>0.00157005086982644</v>
      </c>
      <c r="AJ137" s="220" t="n">
        <f aca="false">Algae_electricity_factor/N137</f>
        <v>0.00152855825591128</v>
      </c>
      <c r="AK137" s="220" t="n">
        <f aca="false">Algae_electricity_factor/O137</f>
        <v>0.00146935990864814</v>
      </c>
      <c r="AL137" s="220" t="n">
        <f aca="false">Algae_electricity_factor/P137</f>
        <v>0.00139079533564811</v>
      </c>
      <c r="AM137" s="220" t="n">
        <f aca="false">Algae_electricity_factor/Q137</f>
        <v>0.00129597148896415</v>
      </c>
      <c r="AN137" s="220" t="n">
        <f aca="false">Algae_electricity_factor/R137</f>
        <v>0.00119380279690467</v>
      </c>
      <c r="AO137" s="220" t="n">
        <f aca="false">Algae_electricity_factor/S137</f>
        <v>0.00109634126884077</v>
      </c>
      <c r="AP137" s="220" t="n">
        <f aca="false">Algae_electricity_factor/T137</f>
        <v>0.00101359206461154</v>
      </c>
      <c r="AQ137" s="220" t="n">
        <f aca="false">Algae_electricity_factor/U137</f>
        <v>0.000950003612565585</v>
      </c>
      <c r="AR137" s="220" t="n">
        <f aca="false">Algae_electricity_factor/V137</f>
        <v>0.000904783779042211</v>
      </c>
      <c r="AS137" s="220" t="n">
        <f aca="false">Algae_electricity_factor/W137</f>
        <v>0.000874369660882944</v>
      </c>
      <c r="AT137" s="220" t="n">
        <f aca="false">Algae_electricity_factor/X137</f>
        <v>0.000854672917653912</v>
      </c>
      <c r="AU137" s="220" t="n">
        <f aca="false">Algae_electricity_factor/Y137</f>
        <v>0.000842227642305896</v>
      </c>
      <c r="AV137" s="220" t="n">
        <f aca="false">Algae_electricity_factor/Z137</f>
        <v>0.000834486278812269</v>
      </c>
      <c r="AW137" s="220" t="n">
        <f aca="false">Algae_electricity_factor/AA137</f>
        <v>0.000829717689920663</v>
      </c>
      <c r="AX137" s="220" t="n">
        <f aca="false">Algae_electricity_factor/AB137</f>
        <v>0.000826797942410756</v>
      </c>
      <c r="AY137" s="220" t="n">
        <f aca="false">Algae_electricity_factor/AC137</f>
        <v>0.000825016808886529</v>
      </c>
      <c r="AZ137" s="211" t="n">
        <f aca="false">Algae_yield_cost_factor/H137</f>
        <v>0.0910398300022397</v>
      </c>
      <c r="BA137" s="18" t="n">
        <f aca="false">Algae_yield_cost_factor/I137</f>
        <v>0.0910398300022397</v>
      </c>
      <c r="BB137" s="18" t="n">
        <f aca="false">Algae_yield_cost_factor/J137</f>
        <v>0.0910398300022397</v>
      </c>
      <c r="BC137" s="18" t="n">
        <f aca="false">Algae_yield_cost_factor/K137</f>
        <v>0.0910398300022397</v>
      </c>
      <c r="BD137" s="18" t="n">
        <f aca="false">Algae_yield_cost_factor/L137</f>
        <v>0.0910398300022397</v>
      </c>
      <c r="BE137" s="18" t="n">
        <f aca="false">Algae_yield_cost_factor/M137</f>
        <v>0.0869176829917834</v>
      </c>
      <c r="BF137" s="18" t="n">
        <f aca="false">Algae_yield_cost_factor/N137</f>
        <v>0.084620660690094</v>
      </c>
      <c r="BG137" s="18" t="n">
        <f aca="false">Algae_yield_cost_factor/O137</f>
        <v>0.0813434527473835</v>
      </c>
      <c r="BH137" s="18" t="n">
        <f aca="false">Algae_yield_cost_factor/P137</f>
        <v>0.0769941346573547</v>
      </c>
      <c r="BI137" s="18" t="n">
        <f aca="false">Algae_yield_cost_factor/Q137</f>
        <v>0.0717447066263704</v>
      </c>
      <c r="BJ137" s="18" t="n">
        <f aca="false">Algae_yield_cost_factor/R137</f>
        <v>0.0660886695139597</v>
      </c>
      <c r="BK137" s="18" t="n">
        <f aca="false">Algae_yield_cost_factor/S137</f>
        <v>0.0606932200014932</v>
      </c>
      <c r="BL137" s="18" t="n">
        <f aca="false">Algae_yield_cost_factor/T137</f>
        <v>0.056112241614587</v>
      </c>
      <c r="BM137" s="18" t="n">
        <f aca="false">Algae_yield_cost_factor/U137</f>
        <v>0.0525919984026713</v>
      </c>
      <c r="BN137" s="18" t="n">
        <f aca="false">Algae_yield_cost_factor/V137</f>
        <v>0.05008863801438</v>
      </c>
      <c r="BO137" s="18" t="n">
        <f aca="false">Algae_yield_cost_factor/W137</f>
        <v>0.048404918886901</v>
      </c>
      <c r="BP137" s="18" t="n">
        <f aca="false">Algae_yield_cost_factor/X137</f>
        <v>0.0473145113613532</v>
      </c>
      <c r="BQ137" s="18" t="n">
        <f aca="false">Algae_yield_cost_factor/Y137</f>
        <v>0.0466255435589508</v>
      </c>
      <c r="BR137" s="18" t="n">
        <f aca="false">Algae_yield_cost_factor/Z137</f>
        <v>0.0461969833186462</v>
      </c>
      <c r="BS137" s="18" t="n">
        <f aca="false">Algae_yield_cost_factor/AA137</f>
        <v>0.0459329952494924</v>
      </c>
      <c r="BT137" s="18" t="n">
        <f aca="false">Algae_yield_cost_factor/AB137</f>
        <v>0.0457713586469088</v>
      </c>
      <c r="BU137" s="18" t="n">
        <f aca="false">Algae_yield_cost_factor/AC137</f>
        <v>0.0456727554729608</v>
      </c>
    </row>
    <row r="138" customFormat="false" ht="15" hidden="false" customHeight="false" outlineLevel="0" collapsed="false">
      <c r="A138" s="18" t="s">
        <v>711</v>
      </c>
      <c r="B138" s="18" t="s">
        <v>22</v>
      </c>
      <c r="C138" s="18" t="s">
        <v>692</v>
      </c>
      <c r="D138" s="18" t="s">
        <v>692</v>
      </c>
      <c r="E138" s="185" t="n">
        <v>8.63775</v>
      </c>
      <c r="F138" s="18" t="n">
        <f aca="false">E138/$B$2*$F$3/1000</f>
        <v>0.0211624875</v>
      </c>
      <c r="G138" s="18" t="n">
        <f aca="false">LOOKUP(RIGHT(D138,5),Ref!$C$4:$C$21,Ref!$E$4:$E$21)*$G$3</f>
        <v>2.5</v>
      </c>
      <c r="H138" s="222" t="n">
        <f aca="false">$E138</f>
        <v>8.63775</v>
      </c>
      <c r="I138" s="185" t="n">
        <f aca="false">$E138</f>
        <v>8.63775</v>
      </c>
      <c r="J138" s="185" t="n">
        <f aca="false">$E138</f>
        <v>8.63775</v>
      </c>
      <c r="K138" s="185" t="n">
        <f aca="false">$E138</f>
        <v>8.63775</v>
      </c>
      <c r="L138" s="185" t="n">
        <f aca="false">$E138</f>
        <v>8.63775</v>
      </c>
      <c r="M138" s="185" t="n">
        <f aca="false">M$3*$E138</f>
        <v>9.04740283603953</v>
      </c>
      <c r="N138" s="185" t="n">
        <f aca="false">N$3*$E138</f>
        <v>9.29299399447849</v>
      </c>
      <c r="O138" s="185" t="n">
        <f aca="false">O$3*$E138</f>
        <v>9.66739503969654</v>
      </c>
      <c r="P138" s="185" t="n">
        <f aca="false">P$3*$E138</f>
        <v>10.2134960682584</v>
      </c>
      <c r="Q138" s="185" t="n">
        <f aca="false">Q$3*$E138</f>
        <v>10.9607987624387</v>
      </c>
      <c r="R138" s="185" t="n">
        <f aca="false">R$3*$E138</f>
        <v>11.8988519119112</v>
      </c>
      <c r="S138" s="185" t="n">
        <f aca="false">S$3*$E138</f>
        <v>12.956625</v>
      </c>
      <c r="T138" s="185" t="n">
        <f aca="false">T$3*$E138</f>
        <v>14.0143980880888</v>
      </c>
      <c r="U138" s="185" t="n">
        <f aca="false">U$3*$E138</f>
        <v>14.9524512375613</v>
      </c>
      <c r="V138" s="185" t="n">
        <f aca="false">V$3*$E138</f>
        <v>15.6997539317416</v>
      </c>
      <c r="W138" s="185" t="n">
        <f aca="false">W$3*$E138</f>
        <v>16.2458549603035</v>
      </c>
      <c r="X138" s="185" t="n">
        <f aca="false">X$3*$E138</f>
        <v>16.6202560055215</v>
      </c>
      <c r="Y138" s="185" t="n">
        <f aca="false">Y$3*$E138</f>
        <v>16.8658471639605</v>
      </c>
      <c r="Z138" s="185" t="n">
        <f aca="false">Z$3*$E138</f>
        <v>17.0223082788275</v>
      </c>
      <c r="AA138" s="185" t="n">
        <f aca="false">AA$3*$E138</f>
        <v>17.1201396148999</v>
      </c>
      <c r="AB138" s="185" t="n">
        <f aca="false">AB$3*$E138</f>
        <v>17.1805975362926</v>
      </c>
      <c r="AC138" s="185" t="n">
        <f aca="false">AC$3*$E138</f>
        <v>17.2176888269288</v>
      </c>
      <c r="AD138" s="219" t="n">
        <f aca="false">Algae_electricity_factor/H138</f>
        <v>0.00159110846036633</v>
      </c>
      <c r="AE138" s="220" t="n">
        <f aca="false">Algae_electricity_factor/I138</f>
        <v>0.00159110846036633</v>
      </c>
      <c r="AF138" s="220" t="n">
        <f aca="false">Algae_electricity_factor/J138</f>
        <v>0.00159110846036633</v>
      </c>
      <c r="AG138" s="220" t="n">
        <f aca="false">Algae_electricity_factor/K138</f>
        <v>0.00159110846036633</v>
      </c>
      <c r="AH138" s="220" t="n">
        <f aca="false">Algae_electricity_factor/L138</f>
        <v>0.00159110846036633</v>
      </c>
      <c r="AI138" s="220" t="n">
        <f aca="false">Algae_electricity_factor/M138</f>
        <v>0.00151906545476044</v>
      </c>
      <c r="AJ138" s="220" t="n">
        <f aca="false">Algae_electricity_factor/N138</f>
        <v>0.00147892026097242</v>
      </c>
      <c r="AK138" s="220" t="n">
        <f aca="false">Algae_electricity_factor/O138</f>
        <v>0.00142164430511993</v>
      </c>
      <c r="AL138" s="220" t="n">
        <f aca="false">Algae_electricity_factor/P138</f>
        <v>0.00134563101720299</v>
      </c>
      <c r="AM138" s="220" t="n">
        <f aca="false">Algae_electricity_factor/Q138</f>
        <v>0.00125388645493857</v>
      </c>
      <c r="AN138" s="220" t="n">
        <f aca="false">Algae_electricity_factor/R138</f>
        <v>0.00115503556185714</v>
      </c>
      <c r="AO138" s="220" t="n">
        <f aca="false">Algae_electricity_factor/S138</f>
        <v>0.00106073897357755</v>
      </c>
      <c r="AP138" s="220" t="n">
        <f aca="false">Algae_electricity_factor/T138</f>
        <v>0.000980676945034855</v>
      </c>
      <c r="AQ138" s="220" t="n">
        <f aca="false">Algae_electricity_factor/U138</f>
        <v>0.000919153447496598</v>
      </c>
      <c r="AR138" s="220" t="n">
        <f aca="false">Algae_electricity_factor/V138</f>
        <v>0.000875402070840267</v>
      </c>
      <c r="AS138" s="220" t="n">
        <f aca="false">Algae_electricity_factor/W138</f>
        <v>0.000845975612678531</v>
      </c>
      <c r="AT138" s="220" t="n">
        <f aca="false">Algae_electricity_factor/X138</f>
        <v>0.000826918496259229</v>
      </c>
      <c r="AU138" s="220" t="n">
        <f aca="false">Algae_electricity_factor/Y138</f>
        <v>0.000814877365478388</v>
      </c>
      <c r="AV138" s="220" t="n">
        <f aca="false">Algae_electricity_factor/Z138</f>
        <v>0.000807387392967362</v>
      </c>
      <c r="AW138" s="220" t="n">
        <f aca="false">Algae_electricity_factor/AA138</f>
        <v>0.000802773657965264</v>
      </c>
      <c r="AX138" s="220" t="n">
        <f aca="false">Algae_electricity_factor/AB138</f>
        <v>0.000799948725560741</v>
      </c>
      <c r="AY138" s="220" t="n">
        <f aca="false">Algae_electricity_factor/AC138</f>
        <v>0.000798225432093652</v>
      </c>
      <c r="AZ138" s="211" t="n">
        <f aca="false">Algae_yield_cost_factor/H138</f>
        <v>0.0880834267356913</v>
      </c>
      <c r="BA138" s="18" t="n">
        <f aca="false">Algae_yield_cost_factor/I138</f>
        <v>0.0880834267356913</v>
      </c>
      <c r="BB138" s="18" t="n">
        <f aca="false">Algae_yield_cost_factor/J138</f>
        <v>0.0880834267356913</v>
      </c>
      <c r="BC138" s="18" t="n">
        <f aca="false">Algae_yield_cost_factor/K138</f>
        <v>0.0880834267356913</v>
      </c>
      <c r="BD138" s="18" t="n">
        <f aca="false">Algae_yield_cost_factor/L138</f>
        <v>0.0880834267356913</v>
      </c>
      <c r="BE138" s="18" t="n">
        <f aca="false">Algae_yield_cost_factor/M138</f>
        <v>0.0840951412327379</v>
      </c>
      <c r="BF138" s="18" t="n">
        <f aca="false">Algae_yield_cost_factor/N138</f>
        <v>0.081872711823367</v>
      </c>
      <c r="BG138" s="18" t="n">
        <f aca="false">Algae_yield_cost_factor/O138</f>
        <v>0.0787019270612221</v>
      </c>
      <c r="BH138" s="18" t="n">
        <f aca="false">Algae_yield_cost_factor/P138</f>
        <v>0.0744938475720155</v>
      </c>
      <c r="BI138" s="18" t="n">
        <f aca="false">Algae_yield_cost_factor/Q138</f>
        <v>0.0694148880730785</v>
      </c>
      <c r="BJ138" s="18" t="n">
        <f aca="false">Algae_yield_cost_factor/R138</f>
        <v>0.0639425236080623</v>
      </c>
      <c r="BK138" s="18" t="n">
        <f aca="false">Algae_yield_cost_factor/S138</f>
        <v>0.0587222844904609</v>
      </c>
      <c r="BL138" s="18" t="n">
        <f aca="false">Algae_yield_cost_factor/T138</f>
        <v>0.0542900675793473</v>
      </c>
      <c r="BM138" s="18" t="n">
        <f aca="false">Algae_yield_cost_factor/U138</f>
        <v>0.0508841398107985</v>
      </c>
      <c r="BN138" s="18" t="n">
        <f aca="false">Algae_yield_cost_factor/V138</f>
        <v>0.048462072883063</v>
      </c>
      <c r="BO138" s="18" t="n">
        <f aca="false">Algae_yield_cost_factor/W138</f>
        <v>0.0468330304034677</v>
      </c>
      <c r="BP138" s="18" t="n">
        <f aca="false">Algae_yield_cost_factor/X138</f>
        <v>0.045778032482379</v>
      </c>
      <c r="BQ138" s="18" t="n">
        <f aca="false">Algae_yield_cost_factor/Y138</f>
        <v>0.0451114380374567</v>
      </c>
      <c r="BR138" s="18" t="n">
        <f aca="false">Algae_yield_cost_factor/Z138</f>
        <v>0.0446967947486042</v>
      </c>
      <c r="BS138" s="18" t="n">
        <f aca="false">Algae_yield_cost_factor/AA138</f>
        <v>0.0444413793579139</v>
      </c>
      <c r="BT138" s="18" t="n">
        <f aca="false">Algae_yield_cost_factor/AB138</f>
        <v>0.0442849916994447</v>
      </c>
      <c r="BU138" s="18" t="n">
        <f aca="false">Algae_yield_cost_factor/AC138</f>
        <v>0.0441895905387863</v>
      </c>
    </row>
    <row r="139" customFormat="false" ht="15" hidden="false" customHeight="false" outlineLevel="0" collapsed="false">
      <c r="A139" s="18" t="s">
        <v>711</v>
      </c>
      <c r="B139" s="18" t="s">
        <v>22</v>
      </c>
      <c r="C139" s="18" t="s">
        <v>693</v>
      </c>
      <c r="D139" s="18" t="s">
        <v>693</v>
      </c>
      <c r="E139" s="185" t="n">
        <v>8.63775</v>
      </c>
      <c r="F139" s="18" t="n">
        <f aca="false">E139/$B$2*$F$3/1000</f>
        <v>0.0211624875</v>
      </c>
      <c r="G139" s="18" t="n">
        <f aca="false">LOOKUP(RIGHT(D139,5),Ref!$C$4:$C$21,Ref!$E$4:$E$21)*$G$3</f>
        <v>3</v>
      </c>
      <c r="H139" s="222" t="n">
        <f aca="false">$E139</f>
        <v>8.63775</v>
      </c>
      <c r="I139" s="185" t="n">
        <f aca="false">$E139</f>
        <v>8.63775</v>
      </c>
      <c r="J139" s="185" t="n">
        <f aca="false">$E139</f>
        <v>8.63775</v>
      </c>
      <c r="K139" s="185" t="n">
        <f aca="false">$E139</f>
        <v>8.63775</v>
      </c>
      <c r="L139" s="185" t="n">
        <f aca="false">$E139</f>
        <v>8.63775</v>
      </c>
      <c r="M139" s="185" t="n">
        <f aca="false">M$3*$E139</f>
        <v>9.04740283603953</v>
      </c>
      <c r="N139" s="185" t="n">
        <f aca="false">N$3*$E139</f>
        <v>9.29299399447849</v>
      </c>
      <c r="O139" s="185" t="n">
        <f aca="false">O$3*$E139</f>
        <v>9.66739503969654</v>
      </c>
      <c r="P139" s="185" t="n">
        <f aca="false">P$3*$E139</f>
        <v>10.2134960682584</v>
      </c>
      <c r="Q139" s="185" t="n">
        <f aca="false">Q$3*$E139</f>
        <v>10.9607987624387</v>
      </c>
      <c r="R139" s="185" t="n">
        <f aca="false">R$3*$E139</f>
        <v>11.8988519119112</v>
      </c>
      <c r="S139" s="185" t="n">
        <f aca="false">S$3*$E139</f>
        <v>12.956625</v>
      </c>
      <c r="T139" s="185" t="n">
        <f aca="false">T$3*$E139</f>
        <v>14.0143980880888</v>
      </c>
      <c r="U139" s="185" t="n">
        <f aca="false">U$3*$E139</f>
        <v>14.9524512375613</v>
      </c>
      <c r="V139" s="185" t="n">
        <f aca="false">V$3*$E139</f>
        <v>15.6997539317416</v>
      </c>
      <c r="W139" s="185" t="n">
        <f aca="false">W$3*$E139</f>
        <v>16.2458549603035</v>
      </c>
      <c r="X139" s="185" t="n">
        <f aca="false">X$3*$E139</f>
        <v>16.6202560055215</v>
      </c>
      <c r="Y139" s="185" t="n">
        <f aca="false">Y$3*$E139</f>
        <v>16.8658471639605</v>
      </c>
      <c r="Z139" s="185" t="n">
        <f aca="false">Z$3*$E139</f>
        <v>17.0223082788275</v>
      </c>
      <c r="AA139" s="185" t="n">
        <f aca="false">AA$3*$E139</f>
        <v>17.1201396148999</v>
      </c>
      <c r="AB139" s="185" t="n">
        <f aca="false">AB$3*$E139</f>
        <v>17.1805975362926</v>
      </c>
      <c r="AC139" s="185" t="n">
        <f aca="false">AC$3*$E139</f>
        <v>17.2176888269288</v>
      </c>
      <c r="AD139" s="219" t="n">
        <f aca="false">Algae_electricity_factor/H139</f>
        <v>0.00159110846036633</v>
      </c>
      <c r="AE139" s="220" t="n">
        <f aca="false">Algae_electricity_factor/I139</f>
        <v>0.00159110846036633</v>
      </c>
      <c r="AF139" s="220" t="n">
        <f aca="false">Algae_electricity_factor/J139</f>
        <v>0.00159110846036633</v>
      </c>
      <c r="AG139" s="220" t="n">
        <f aca="false">Algae_electricity_factor/K139</f>
        <v>0.00159110846036633</v>
      </c>
      <c r="AH139" s="220" t="n">
        <f aca="false">Algae_electricity_factor/L139</f>
        <v>0.00159110846036633</v>
      </c>
      <c r="AI139" s="220" t="n">
        <f aca="false">Algae_electricity_factor/M139</f>
        <v>0.00151906545476044</v>
      </c>
      <c r="AJ139" s="220" t="n">
        <f aca="false">Algae_electricity_factor/N139</f>
        <v>0.00147892026097242</v>
      </c>
      <c r="AK139" s="220" t="n">
        <f aca="false">Algae_electricity_factor/O139</f>
        <v>0.00142164430511993</v>
      </c>
      <c r="AL139" s="220" t="n">
        <f aca="false">Algae_electricity_factor/P139</f>
        <v>0.00134563101720299</v>
      </c>
      <c r="AM139" s="220" t="n">
        <f aca="false">Algae_electricity_factor/Q139</f>
        <v>0.00125388645493857</v>
      </c>
      <c r="AN139" s="220" t="n">
        <f aca="false">Algae_electricity_factor/R139</f>
        <v>0.00115503556185714</v>
      </c>
      <c r="AO139" s="220" t="n">
        <f aca="false">Algae_electricity_factor/S139</f>
        <v>0.00106073897357755</v>
      </c>
      <c r="AP139" s="220" t="n">
        <f aca="false">Algae_electricity_factor/T139</f>
        <v>0.000980676945034855</v>
      </c>
      <c r="AQ139" s="220" t="n">
        <f aca="false">Algae_electricity_factor/U139</f>
        <v>0.000919153447496598</v>
      </c>
      <c r="AR139" s="220" t="n">
        <f aca="false">Algae_electricity_factor/V139</f>
        <v>0.000875402070840267</v>
      </c>
      <c r="AS139" s="220" t="n">
        <f aca="false">Algae_electricity_factor/W139</f>
        <v>0.000845975612678531</v>
      </c>
      <c r="AT139" s="220" t="n">
        <f aca="false">Algae_electricity_factor/X139</f>
        <v>0.000826918496259229</v>
      </c>
      <c r="AU139" s="220" t="n">
        <f aca="false">Algae_electricity_factor/Y139</f>
        <v>0.000814877365478388</v>
      </c>
      <c r="AV139" s="220" t="n">
        <f aca="false">Algae_electricity_factor/Z139</f>
        <v>0.000807387392967362</v>
      </c>
      <c r="AW139" s="220" t="n">
        <f aca="false">Algae_electricity_factor/AA139</f>
        <v>0.000802773657965264</v>
      </c>
      <c r="AX139" s="220" t="n">
        <f aca="false">Algae_electricity_factor/AB139</f>
        <v>0.000799948725560741</v>
      </c>
      <c r="AY139" s="220" t="n">
        <f aca="false">Algae_electricity_factor/AC139</f>
        <v>0.000798225432093652</v>
      </c>
      <c r="AZ139" s="211" t="n">
        <f aca="false">Algae_yield_cost_factor/H139</f>
        <v>0.0880834267356913</v>
      </c>
      <c r="BA139" s="18" t="n">
        <f aca="false">Algae_yield_cost_factor/I139</f>
        <v>0.0880834267356913</v>
      </c>
      <c r="BB139" s="18" t="n">
        <f aca="false">Algae_yield_cost_factor/J139</f>
        <v>0.0880834267356913</v>
      </c>
      <c r="BC139" s="18" t="n">
        <f aca="false">Algae_yield_cost_factor/K139</f>
        <v>0.0880834267356913</v>
      </c>
      <c r="BD139" s="18" t="n">
        <f aca="false">Algae_yield_cost_factor/L139</f>
        <v>0.0880834267356913</v>
      </c>
      <c r="BE139" s="18" t="n">
        <f aca="false">Algae_yield_cost_factor/M139</f>
        <v>0.0840951412327379</v>
      </c>
      <c r="BF139" s="18" t="n">
        <f aca="false">Algae_yield_cost_factor/N139</f>
        <v>0.081872711823367</v>
      </c>
      <c r="BG139" s="18" t="n">
        <f aca="false">Algae_yield_cost_factor/O139</f>
        <v>0.0787019270612221</v>
      </c>
      <c r="BH139" s="18" t="n">
        <f aca="false">Algae_yield_cost_factor/P139</f>
        <v>0.0744938475720155</v>
      </c>
      <c r="BI139" s="18" t="n">
        <f aca="false">Algae_yield_cost_factor/Q139</f>
        <v>0.0694148880730785</v>
      </c>
      <c r="BJ139" s="18" t="n">
        <f aca="false">Algae_yield_cost_factor/R139</f>
        <v>0.0639425236080623</v>
      </c>
      <c r="BK139" s="18" t="n">
        <f aca="false">Algae_yield_cost_factor/S139</f>
        <v>0.0587222844904609</v>
      </c>
      <c r="BL139" s="18" t="n">
        <f aca="false">Algae_yield_cost_factor/T139</f>
        <v>0.0542900675793473</v>
      </c>
      <c r="BM139" s="18" t="n">
        <f aca="false">Algae_yield_cost_factor/U139</f>
        <v>0.0508841398107985</v>
      </c>
      <c r="BN139" s="18" t="n">
        <f aca="false">Algae_yield_cost_factor/V139</f>
        <v>0.048462072883063</v>
      </c>
      <c r="BO139" s="18" t="n">
        <f aca="false">Algae_yield_cost_factor/W139</f>
        <v>0.0468330304034677</v>
      </c>
      <c r="BP139" s="18" t="n">
        <f aca="false">Algae_yield_cost_factor/X139</f>
        <v>0.045778032482379</v>
      </c>
      <c r="BQ139" s="18" t="n">
        <f aca="false">Algae_yield_cost_factor/Y139</f>
        <v>0.0451114380374567</v>
      </c>
      <c r="BR139" s="18" t="n">
        <f aca="false">Algae_yield_cost_factor/Z139</f>
        <v>0.0446967947486042</v>
      </c>
      <c r="BS139" s="18" t="n">
        <f aca="false">Algae_yield_cost_factor/AA139</f>
        <v>0.0444413793579139</v>
      </c>
      <c r="BT139" s="18" t="n">
        <f aca="false">Algae_yield_cost_factor/AB139</f>
        <v>0.0442849916994447</v>
      </c>
      <c r="BU139" s="18" t="n">
        <f aca="false">Algae_yield_cost_factor/AC139</f>
        <v>0.0441895905387863</v>
      </c>
    </row>
    <row r="140" customFormat="false" ht="15" hidden="false" customHeight="false" outlineLevel="0" collapsed="false">
      <c r="A140" s="18" t="s">
        <v>711</v>
      </c>
      <c r="B140" s="18" t="s">
        <v>22</v>
      </c>
      <c r="C140" s="18" t="s">
        <v>694</v>
      </c>
      <c r="D140" s="18" t="s">
        <v>694</v>
      </c>
      <c r="E140" s="185" t="n">
        <v>8.78625</v>
      </c>
      <c r="F140" s="18" t="n">
        <f aca="false">E140/$B$2*$F$3/1000</f>
        <v>0.0215263125</v>
      </c>
      <c r="G140" s="18" t="n">
        <f aca="false">LOOKUP(RIGHT(D140,5),Ref!$C$4:$C$21,Ref!$E$4:$E$21)*$G$3</f>
        <v>3</v>
      </c>
      <c r="H140" s="222" t="n">
        <f aca="false">$E140</f>
        <v>8.78625</v>
      </c>
      <c r="I140" s="185" t="n">
        <f aca="false">$E140</f>
        <v>8.78625</v>
      </c>
      <c r="J140" s="185" t="n">
        <f aca="false">$E140</f>
        <v>8.78625</v>
      </c>
      <c r="K140" s="185" t="n">
        <f aca="false">$E140</f>
        <v>8.78625</v>
      </c>
      <c r="L140" s="185" t="n">
        <f aca="false">$E140</f>
        <v>8.78625</v>
      </c>
      <c r="M140" s="185" t="n">
        <f aca="false">M$3*$E140</f>
        <v>9.20294557820639</v>
      </c>
      <c r="N140" s="185" t="n">
        <f aca="false">N$3*$E140</f>
        <v>9.45275893421165</v>
      </c>
      <c r="O140" s="185" t="n">
        <f aca="false">O$3*$E140</f>
        <v>9.83359667361683</v>
      </c>
      <c r="P140" s="185" t="n">
        <f aca="false">P$3*$E140</f>
        <v>10.3890862585436</v>
      </c>
      <c r="Q140" s="185" t="n">
        <f aca="false">Q$3*$E140</f>
        <v>11.1492365635121</v>
      </c>
      <c r="R140" s="185" t="n">
        <f aca="false">R$3*$E140</f>
        <v>12.1034167012277</v>
      </c>
      <c r="S140" s="185" t="n">
        <f aca="false">S$3*$E140</f>
        <v>13.179375</v>
      </c>
      <c r="T140" s="185" t="n">
        <f aca="false">T$3*$E140</f>
        <v>14.2553332987723</v>
      </c>
      <c r="U140" s="185" t="n">
        <f aca="false">U$3*$E140</f>
        <v>15.2095134364879</v>
      </c>
      <c r="V140" s="185" t="n">
        <f aca="false">V$3*$E140</f>
        <v>15.9696637414564</v>
      </c>
      <c r="W140" s="185" t="n">
        <f aca="false">W$3*$E140</f>
        <v>16.5251533263832</v>
      </c>
      <c r="X140" s="185" t="n">
        <f aca="false">X$3*$E140</f>
        <v>16.9059910657883</v>
      </c>
      <c r="Y140" s="185" t="n">
        <f aca="false">Y$3*$E140</f>
        <v>17.1558044217936</v>
      </c>
      <c r="Z140" s="185" t="n">
        <f aca="false">Z$3*$E140</f>
        <v>17.3149554125609</v>
      </c>
      <c r="AA140" s="185" t="n">
        <f aca="false">AA$3*$E140</f>
        <v>17.4144686627206</v>
      </c>
      <c r="AB140" s="185" t="n">
        <f aca="false">AB$3*$E140</f>
        <v>17.475965975312</v>
      </c>
      <c r="AC140" s="185" t="n">
        <f aca="false">AC$3*$E140</f>
        <v>17.5136949385665</v>
      </c>
      <c r="AD140" s="219" t="n">
        <f aca="false">Algae_electricity_factor/H140</f>
        <v>0.00156421648638831</v>
      </c>
      <c r="AE140" s="220" t="n">
        <f aca="false">Algae_electricity_factor/I140</f>
        <v>0.00156421648638831</v>
      </c>
      <c r="AF140" s="220" t="n">
        <f aca="false">Algae_electricity_factor/J140</f>
        <v>0.00156421648638831</v>
      </c>
      <c r="AG140" s="220" t="n">
        <f aca="false">Algae_electricity_factor/K140</f>
        <v>0.00156421648638831</v>
      </c>
      <c r="AH140" s="220" t="n">
        <f aca="false">Algae_electricity_factor/L140</f>
        <v>0.00156421648638831</v>
      </c>
      <c r="AI140" s="220" t="n">
        <f aca="false">Algae_electricity_factor/M140</f>
        <v>0.00149339110904618</v>
      </c>
      <c r="AJ140" s="220" t="n">
        <f aca="false">Algae_electricity_factor/N140</f>
        <v>0.0014539244255757</v>
      </c>
      <c r="AK140" s="220" t="n">
        <f aca="false">Algae_electricity_factor/O140</f>
        <v>0.00139761651404748</v>
      </c>
      <c r="AL140" s="220" t="n">
        <f aca="false">Algae_electricity_factor/P140</f>
        <v>0.00132288795775731</v>
      </c>
      <c r="AM140" s="220" t="n">
        <f aca="false">Algae_electricity_factor/Q140</f>
        <v>0.00123269400781284</v>
      </c>
      <c r="AN140" s="220" t="n">
        <f aca="false">Algae_electricity_factor/R140</f>
        <v>0.00113551383405111</v>
      </c>
      <c r="AO140" s="220" t="n">
        <f aca="false">Algae_electricity_factor/S140</f>
        <v>0.00104281099092554</v>
      </c>
      <c r="AP140" s="220" t="n">
        <f aca="false">Algae_electricity_factor/T140</f>
        <v>0.000964102123428633</v>
      </c>
      <c r="AQ140" s="220" t="n">
        <f aca="false">Algae_electricity_factor/U140</f>
        <v>0.000903618459651585</v>
      </c>
      <c r="AR140" s="220" t="n">
        <f aca="false">Algae_electricity_factor/V140</f>
        <v>0.000860606542882403</v>
      </c>
      <c r="AS140" s="220" t="n">
        <f aca="false">Algae_electricity_factor/W140</f>
        <v>0.000831677433309316</v>
      </c>
      <c r="AT140" s="220" t="n">
        <f aca="false">Algae_electricity_factor/X140</f>
        <v>0.00081294240899851</v>
      </c>
      <c r="AU140" s="220" t="n">
        <f aca="false">Algae_electricity_factor/Y140</f>
        <v>0.000801104790287205</v>
      </c>
      <c r="AV140" s="220" t="n">
        <f aca="false">Algae_electricity_factor/Z140</f>
        <v>0.000793741408860872</v>
      </c>
      <c r="AW140" s="220" t="n">
        <f aca="false">Algae_electricity_factor/AA140</f>
        <v>0.000789205652478527</v>
      </c>
      <c r="AX140" s="220" t="n">
        <f aca="false">Algae_electricity_factor/AB140</f>
        <v>0.000786428465410418</v>
      </c>
      <c r="AY140" s="220" t="n">
        <f aca="false">Algae_electricity_factor/AC140</f>
        <v>0.000784734298030098</v>
      </c>
      <c r="AZ140" s="211" t="n">
        <f aca="false">Algae_yield_cost_factor/H140</f>
        <v>0.0865946927626937</v>
      </c>
      <c r="BA140" s="18" t="n">
        <f aca="false">Algae_yield_cost_factor/I140</f>
        <v>0.0865946927626937</v>
      </c>
      <c r="BB140" s="18" t="n">
        <f aca="false">Algae_yield_cost_factor/J140</f>
        <v>0.0865946927626937</v>
      </c>
      <c r="BC140" s="18" t="n">
        <f aca="false">Algae_yield_cost_factor/K140</f>
        <v>0.0865946927626937</v>
      </c>
      <c r="BD140" s="18" t="n">
        <f aca="false">Algae_yield_cost_factor/L140</f>
        <v>0.0865946927626937</v>
      </c>
      <c r="BE140" s="18" t="n">
        <f aca="false">Algae_yield_cost_factor/M140</f>
        <v>0.0826738149020438</v>
      </c>
      <c r="BF140" s="18" t="n">
        <f aca="false">Algae_yield_cost_factor/N140</f>
        <v>0.0804889476798735</v>
      </c>
      <c r="BG140" s="18" t="n">
        <f aca="false">Algae_yield_cost_factor/O140</f>
        <v>0.0773717536461028</v>
      </c>
      <c r="BH140" s="18" t="n">
        <f aca="false">Algae_yield_cost_factor/P140</f>
        <v>0.0732347966271364</v>
      </c>
      <c r="BI140" s="18" t="n">
        <f aca="false">Algae_yield_cost_factor/Q140</f>
        <v>0.0682416786971955</v>
      </c>
      <c r="BJ140" s="18" t="n">
        <f aca="false">Algae_yield_cost_factor/R140</f>
        <v>0.0628618048991936</v>
      </c>
      <c r="BK140" s="18" t="n">
        <f aca="false">Algae_yield_cost_factor/S140</f>
        <v>0.0577297951751292</v>
      </c>
      <c r="BL140" s="18" t="n">
        <f aca="false">Algae_yield_cost_factor/T140</f>
        <v>0.0533724889723724</v>
      </c>
      <c r="BM140" s="18" t="n">
        <f aca="false">Algae_yield_cost_factor/U140</f>
        <v>0.0500241261801935</v>
      </c>
      <c r="BN140" s="18" t="n">
        <f aca="false">Algae_yield_cost_factor/V140</f>
        <v>0.0476429955948985</v>
      </c>
      <c r="BO140" s="18" t="n">
        <f aca="false">Algae_yield_cost_factor/W140</f>
        <v>0.0460414862276344</v>
      </c>
      <c r="BP140" s="18" t="n">
        <f aca="false">Algae_yield_cost_factor/X140</f>
        <v>0.0450043192573247</v>
      </c>
      <c r="BQ140" s="18" t="n">
        <f aca="false">Algae_yield_cost_factor/Y140</f>
        <v>0.044348991197387</v>
      </c>
      <c r="BR140" s="18" t="n">
        <f aca="false">Algae_yield_cost_factor/Z140</f>
        <v>0.0439413559641208</v>
      </c>
      <c r="BS140" s="18" t="n">
        <f aca="false">Algae_yield_cost_factor/AA140</f>
        <v>0.0436902574532731</v>
      </c>
      <c r="BT140" s="18" t="n">
        <f aca="false">Algae_yield_cost_factor/AB140</f>
        <v>0.0435365129664964</v>
      </c>
      <c r="BU140" s="18" t="n">
        <f aca="false">Algae_yield_cost_factor/AC140</f>
        <v>0.0434427242198209</v>
      </c>
    </row>
    <row r="141" customFormat="false" ht="15" hidden="false" customHeight="false" outlineLevel="0" collapsed="false">
      <c r="A141" s="18" t="s">
        <v>711</v>
      </c>
      <c r="B141" s="18" t="s">
        <v>22</v>
      </c>
      <c r="C141" s="18" t="s">
        <v>682</v>
      </c>
      <c r="D141" s="18" t="s">
        <v>682</v>
      </c>
      <c r="E141" s="185" t="n">
        <v>7.623</v>
      </c>
      <c r="F141" s="18" t="n">
        <f aca="false">E141/$B$2*$F$3/1000</f>
        <v>0.01867635</v>
      </c>
      <c r="G141" s="18" t="n">
        <f aca="false">LOOKUP(RIGHT(D141,5),Ref!$C$4:$C$21,Ref!$E$4:$E$21)*$G$3</f>
        <v>3</v>
      </c>
      <c r="H141" s="222" t="n">
        <f aca="false">$E141</f>
        <v>7.623</v>
      </c>
      <c r="I141" s="185" t="n">
        <f aca="false">$E141</f>
        <v>7.623</v>
      </c>
      <c r="J141" s="185" t="n">
        <f aca="false">$E141</f>
        <v>7.623</v>
      </c>
      <c r="K141" s="185" t="n">
        <f aca="false">$E141</f>
        <v>7.623</v>
      </c>
      <c r="L141" s="185" t="n">
        <f aca="false">$E141</f>
        <v>7.623</v>
      </c>
      <c r="M141" s="185" t="n">
        <f aca="false">M$3*$E141</f>
        <v>7.98452743123259</v>
      </c>
      <c r="N141" s="185" t="n">
        <f aca="false">N$3*$E141</f>
        <v>8.20126690630194</v>
      </c>
      <c r="O141" s="185" t="n">
        <f aca="false">O$3*$E141</f>
        <v>8.5316838745746</v>
      </c>
      <c r="P141" s="185" t="n">
        <f aca="false">P$3*$E141</f>
        <v>9.01362976797586</v>
      </c>
      <c r="Q141" s="185" t="n">
        <f aca="false">Q$3*$E141</f>
        <v>9.67314045510347</v>
      </c>
      <c r="R141" s="185" t="n">
        <f aca="false">R$3*$E141</f>
        <v>10.5009925182483</v>
      </c>
      <c r="S141" s="185" t="n">
        <f aca="false">S$3*$E141</f>
        <v>11.4345</v>
      </c>
      <c r="T141" s="185" t="n">
        <f aca="false">T$3*$E141</f>
        <v>12.3680074817517</v>
      </c>
      <c r="U141" s="185" t="n">
        <f aca="false">U$3*$E141</f>
        <v>13.1958595448965</v>
      </c>
      <c r="V141" s="185" t="n">
        <f aca="false">V$3*$E141</f>
        <v>13.8553702320241</v>
      </c>
      <c r="W141" s="185" t="n">
        <f aca="false">W$3*$E141</f>
        <v>14.3373161254254</v>
      </c>
      <c r="X141" s="185" t="n">
        <f aca="false">X$3*$E141</f>
        <v>14.6677330936981</v>
      </c>
      <c r="Y141" s="185" t="n">
        <f aca="false">Y$3*$E141</f>
        <v>14.8844725687674</v>
      </c>
      <c r="Z141" s="185" t="n">
        <f aca="false">Z$3*$E141</f>
        <v>15.0225528649824</v>
      </c>
      <c r="AA141" s="185" t="n">
        <f aca="false">AA$3*$E141</f>
        <v>15.108891121459</v>
      </c>
      <c r="AB141" s="185" t="n">
        <f aca="false">AB$3*$E141</f>
        <v>15.162246536327</v>
      </c>
      <c r="AC141" s="185" t="n">
        <f aca="false">AC$3*$E141</f>
        <v>15.1949803974042</v>
      </c>
      <c r="AD141" s="219" t="n">
        <f aca="false">Algae_electricity_factor/H141</f>
        <v>0.0018029118593112</v>
      </c>
      <c r="AE141" s="220" t="n">
        <f aca="false">Algae_electricity_factor/I141</f>
        <v>0.0018029118593112</v>
      </c>
      <c r="AF141" s="220" t="n">
        <f aca="false">Algae_electricity_factor/J141</f>
        <v>0.0018029118593112</v>
      </c>
      <c r="AG141" s="220" t="n">
        <f aca="false">Algae_electricity_factor/K141</f>
        <v>0.0018029118593112</v>
      </c>
      <c r="AH141" s="220" t="n">
        <f aca="false">Algae_electricity_factor/L141</f>
        <v>0.0018029118593112</v>
      </c>
      <c r="AI141" s="220" t="n">
        <f aca="false">Algae_electricity_factor/M141</f>
        <v>0.00172127871334868</v>
      </c>
      <c r="AJ141" s="220" t="n">
        <f aca="false">Algae_electricity_factor/N141</f>
        <v>0.00167578951649147</v>
      </c>
      <c r="AK141" s="220" t="n">
        <f aca="false">Algae_electricity_factor/O141</f>
        <v>0.00161088916391836</v>
      </c>
      <c r="AL141" s="220" t="n">
        <f aca="false">Algae_electricity_factor/P141</f>
        <v>0.00152475722403846</v>
      </c>
      <c r="AM141" s="220" t="n">
        <f aca="false">Algae_electricity_factor/Q141</f>
        <v>0.00142079991160247</v>
      </c>
      <c r="AN141" s="220" t="n">
        <f aca="false">Algae_electricity_factor/R141</f>
        <v>0.00130879029574072</v>
      </c>
      <c r="AO141" s="220" t="n">
        <f aca="false">Algae_electricity_factor/S141</f>
        <v>0.0012019412395408</v>
      </c>
      <c r="AP141" s="220" t="n">
        <f aca="false">Algae_electricity_factor/T141</f>
        <v>0.00111122160330248</v>
      </c>
      <c r="AQ141" s="220" t="n">
        <f aca="false">Algae_electricity_factor/U141</f>
        <v>0.00104150828953348</v>
      </c>
      <c r="AR141" s="220" t="n">
        <f aca="false">Algae_electricity_factor/V141</f>
        <v>0.000991932865984588</v>
      </c>
      <c r="AS141" s="220" t="n">
        <f aca="false">Algae_electricity_factor/W141</f>
        <v>0.000958589249431192</v>
      </c>
      <c r="AT141" s="220" t="n">
        <f aca="false">Algae_electricity_factor/X141</f>
        <v>0.000936995309072957</v>
      </c>
      <c r="AU141" s="220" t="n">
        <f aca="false">Algae_electricity_factor/Y141</f>
        <v>0.000923351300493369</v>
      </c>
      <c r="AV141" s="220" t="n">
        <f aca="false">Algae_electricity_factor/Z141</f>
        <v>0.000914864286187044</v>
      </c>
      <c r="AW141" s="220" t="n">
        <f aca="false">Algae_electricity_factor/AA141</f>
        <v>0.000909636385161939</v>
      </c>
      <c r="AX141" s="220" t="n">
        <f aca="false">Algae_electricity_factor/AB141</f>
        <v>0.000906435406560709</v>
      </c>
      <c r="AY141" s="220" t="n">
        <f aca="false">Algae_electricity_factor/AC141</f>
        <v>0.000904482713638587</v>
      </c>
      <c r="AZ141" s="211" t="n">
        <f aca="false">Algae_yield_cost_factor/H141</f>
        <v>0.0998088179570009</v>
      </c>
      <c r="BA141" s="18" t="n">
        <f aca="false">Algae_yield_cost_factor/I141</f>
        <v>0.0998088179570009</v>
      </c>
      <c r="BB141" s="18" t="n">
        <f aca="false">Algae_yield_cost_factor/J141</f>
        <v>0.0998088179570009</v>
      </c>
      <c r="BC141" s="18" t="n">
        <f aca="false">Algae_yield_cost_factor/K141</f>
        <v>0.0998088179570009</v>
      </c>
      <c r="BD141" s="18" t="n">
        <f aca="false">Algae_yield_cost_factor/L141</f>
        <v>0.0998088179570009</v>
      </c>
      <c r="BE141" s="18" t="n">
        <f aca="false">Algae_yield_cost_factor/M141</f>
        <v>0.0952896243189141</v>
      </c>
      <c r="BF141" s="18" t="n">
        <f aca="false">Algae_yield_cost_factor/N141</f>
        <v>0.0927713520336204</v>
      </c>
      <c r="BG141" s="18" t="n">
        <f aca="false">Algae_yield_cost_factor/O141</f>
        <v>0.0891784822869043</v>
      </c>
      <c r="BH141" s="18" t="n">
        <f aca="false">Algae_yield_cost_factor/P141</f>
        <v>0.0844102363721864</v>
      </c>
      <c r="BI141" s="18" t="n">
        <f aca="false">Algae_yield_cost_factor/Q141</f>
        <v>0.078655181615274</v>
      </c>
      <c r="BJ141" s="18" t="n">
        <f aca="false">Algae_yield_cost_factor/R141</f>
        <v>0.0724543530493953</v>
      </c>
      <c r="BK141" s="18" t="n">
        <f aca="false">Algae_yield_cost_factor/S141</f>
        <v>0.0665392119713339</v>
      </c>
      <c r="BL141" s="18" t="n">
        <f aca="false">Algae_yield_cost_factor/T141</f>
        <v>0.061516992159715</v>
      </c>
      <c r="BM141" s="18" t="n">
        <f aca="false">Algae_yield_cost_factor/U141</f>
        <v>0.0576576779024957</v>
      </c>
      <c r="BN141" s="18" t="n">
        <f aca="false">Algae_yield_cost_factor/V141</f>
        <v>0.0549131929746395</v>
      </c>
      <c r="BO141" s="18" t="n">
        <f aca="false">Algae_yield_cost_factor/W141</f>
        <v>0.0530672974376955</v>
      </c>
      <c r="BP141" s="18" t="n">
        <f aca="false">Algae_yield_cost_factor/X141</f>
        <v>0.0518718614816567</v>
      </c>
      <c r="BQ141" s="18" t="n">
        <f aca="false">Algae_yield_cost_factor/Y141</f>
        <v>0.0511165320619233</v>
      </c>
      <c r="BR141" s="18" t="n">
        <f aca="false">Algae_yield_cost_factor/Z141</f>
        <v>0.0506466927508535</v>
      </c>
      <c r="BS141" s="18" t="n">
        <f aca="false">Algae_yield_cost_factor/AA141</f>
        <v>0.0503572772594543</v>
      </c>
      <c r="BT141" s="18" t="n">
        <f aca="false">Algae_yield_cost_factor/AB141</f>
        <v>0.0501800717633318</v>
      </c>
      <c r="BU141" s="18" t="n">
        <f aca="false">Algae_yield_cost_factor/AC141</f>
        <v>0.0500719710975208</v>
      </c>
    </row>
    <row r="142" customFormat="false" ht="15" hidden="false" customHeight="false" outlineLevel="0" collapsed="false">
      <c r="A142" s="18" t="s">
        <v>711</v>
      </c>
      <c r="B142" s="18" t="s">
        <v>22</v>
      </c>
      <c r="C142" s="18" t="s">
        <v>683</v>
      </c>
      <c r="D142" s="18" t="s">
        <v>683</v>
      </c>
      <c r="E142" s="185" t="n">
        <v>8.7615</v>
      </c>
      <c r="F142" s="18" t="n">
        <f aca="false">E142/$B$2*$F$3/1000</f>
        <v>0.021465675</v>
      </c>
      <c r="G142" s="18" t="n">
        <f aca="false">LOOKUP(RIGHT(D142,5),Ref!$C$4:$C$21,Ref!$E$4:$E$21)*$G$3</f>
        <v>3</v>
      </c>
      <c r="H142" s="222" t="n">
        <f aca="false">$E142</f>
        <v>8.7615</v>
      </c>
      <c r="I142" s="185" t="n">
        <f aca="false">$E142</f>
        <v>8.7615</v>
      </c>
      <c r="J142" s="185" t="n">
        <f aca="false">$E142</f>
        <v>8.7615</v>
      </c>
      <c r="K142" s="185" t="n">
        <f aca="false">$E142</f>
        <v>8.7615</v>
      </c>
      <c r="L142" s="185" t="n">
        <f aca="false">$E142</f>
        <v>8.7615</v>
      </c>
      <c r="M142" s="185" t="n">
        <f aca="false">M$3*$E142</f>
        <v>9.17702178784525</v>
      </c>
      <c r="N142" s="185" t="n">
        <f aca="false">N$3*$E142</f>
        <v>9.42613144425613</v>
      </c>
      <c r="O142" s="185" t="n">
        <f aca="false">O$3*$E142</f>
        <v>9.80589640129678</v>
      </c>
      <c r="P142" s="185" t="n">
        <f aca="false">P$3*$E142</f>
        <v>10.3598212268294</v>
      </c>
      <c r="Q142" s="185" t="n">
        <f aca="false">Q$3*$E142</f>
        <v>11.1178302633332</v>
      </c>
      <c r="R142" s="185" t="n">
        <f aca="false">R$3*$E142</f>
        <v>12.069322569675</v>
      </c>
      <c r="S142" s="185" t="n">
        <f aca="false">S$3*$E142</f>
        <v>13.14225</v>
      </c>
      <c r="T142" s="185" t="n">
        <f aca="false">T$3*$E142</f>
        <v>14.215177430325</v>
      </c>
      <c r="U142" s="185" t="n">
        <f aca="false">U$3*$E142</f>
        <v>15.1666697366668</v>
      </c>
      <c r="V142" s="185" t="n">
        <f aca="false">V$3*$E142</f>
        <v>15.9246787731706</v>
      </c>
      <c r="W142" s="185" t="n">
        <f aca="false">W$3*$E142</f>
        <v>16.4786035987032</v>
      </c>
      <c r="X142" s="185" t="n">
        <f aca="false">X$3*$E142</f>
        <v>16.8583685557439</v>
      </c>
      <c r="Y142" s="185" t="n">
        <f aca="false">Y$3*$E142</f>
        <v>17.1074782121548</v>
      </c>
      <c r="Z142" s="185" t="n">
        <f aca="false">Z$3*$E142</f>
        <v>17.266180890272</v>
      </c>
      <c r="AA142" s="185" t="n">
        <f aca="false">AA$3*$E142</f>
        <v>17.3654138214171</v>
      </c>
      <c r="AB142" s="185" t="n">
        <f aca="false">AB$3*$E142</f>
        <v>17.4267379021421</v>
      </c>
      <c r="AC142" s="185" t="n">
        <f aca="false">AC$3*$E142</f>
        <v>17.4643605866269</v>
      </c>
      <c r="AD142" s="219" t="n">
        <f aca="false">Algae_electricity_factor/H142</f>
        <v>0.00156863517702782</v>
      </c>
      <c r="AE142" s="220" t="n">
        <f aca="false">Algae_electricity_factor/I142</f>
        <v>0.00156863517702782</v>
      </c>
      <c r="AF142" s="220" t="n">
        <f aca="false">Algae_electricity_factor/J142</f>
        <v>0.00156863517702782</v>
      </c>
      <c r="AG142" s="220" t="n">
        <f aca="false">Algae_electricity_factor/K142</f>
        <v>0.00156863517702782</v>
      </c>
      <c r="AH142" s="220" t="n">
        <f aca="false">Algae_electricity_factor/L142</f>
        <v>0.00156863517702782</v>
      </c>
      <c r="AI142" s="220" t="n">
        <f aca="false">Algae_electricity_factor/M142</f>
        <v>0.00149760972799829</v>
      </c>
      <c r="AJ142" s="220" t="n">
        <f aca="false">Algae_electricity_factor/N142</f>
        <v>0.0014580315567214</v>
      </c>
      <c r="AK142" s="220" t="n">
        <f aca="false">Algae_electricity_factor/O142</f>
        <v>0.0014015645832962</v>
      </c>
      <c r="AL142" s="220" t="n">
        <f aca="false">Algae_electricity_factor/P142</f>
        <v>0.00132662492938939</v>
      </c>
      <c r="AM142" s="220" t="n">
        <f aca="false">Algae_electricity_factor/Q142</f>
        <v>0.00123617619427559</v>
      </c>
      <c r="AN142" s="220" t="n">
        <f aca="false">Algae_electricity_factor/R142</f>
        <v>0.00113872150024899</v>
      </c>
      <c r="AO142" s="220" t="n">
        <f aca="false">Algae_electricity_factor/S142</f>
        <v>0.00104575678468521</v>
      </c>
      <c r="AP142" s="220" t="n">
        <f aca="false">Algae_electricity_factor/T142</f>
        <v>0.000966825575754702</v>
      </c>
      <c r="AQ142" s="220" t="n">
        <f aca="false">Algae_electricity_factor/U142</f>
        <v>0.000906171054170375</v>
      </c>
      <c r="AR142" s="220" t="n">
        <f aca="false">Algae_electricity_factor/V142</f>
        <v>0.00086303763481145</v>
      </c>
      <c r="AS142" s="220" t="n">
        <f aca="false">Algae_electricity_factor/W142</f>
        <v>0.000834026804589851</v>
      </c>
      <c r="AT142" s="220" t="n">
        <f aca="false">Algae_electricity_factor/X142</f>
        <v>0.000815238856481556</v>
      </c>
      <c r="AU142" s="220" t="n">
        <f aca="false">Algae_electricity_factor/Y142</f>
        <v>0.000803367798169372</v>
      </c>
      <c r="AV142" s="220" t="n">
        <f aca="false">Algae_electricity_factor/Z142</f>
        <v>0.000795983616230535</v>
      </c>
      <c r="AW142" s="220" t="n">
        <f aca="false">Algae_electricity_factor/AA142</f>
        <v>0.000791435046977054</v>
      </c>
      <c r="AX142" s="220" t="n">
        <f aca="false">Algae_electricity_factor/AB142</f>
        <v>0.000788650014747736</v>
      </c>
      <c r="AY142" s="220" t="n">
        <f aca="false">Algae_electricity_factor/AC142</f>
        <v>0.000786951061583855</v>
      </c>
      <c r="AZ142" s="211" t="n">
        <f aca="false">Algae_yield_cost_factor/H142</f>
        <v>0.0868393105388595</v>
      </c>
      <c r="BA142" s="18" t="n">
        <f aca="false">Algae_yield_cost_factor/I142</f>
        <v>0.0868393105388595</v>
      </c>
      <c r="BB142" s="18" t="n">
        <f aca="false">Algae_yield_cost_factor/J142</f>
        <v>0.0868393105388595</v>
      </c>
      <c r="BC142" s="18" t="n">
        <f aca="false">Algae_yield_cost_factor/K142</f>
        <v>0.0868393105388595</v>
      </c>
      <c r="BD142" s="18" t="n">
        <f aca="false">Algae_yield_cost_factor/L142</f>
        <v>0.0868393105388595</v>
      </c>
      <c r="BE142" s="18" t="n">
        <f aca="false">Algae_yield_cost_factor/M142</f>
        <v>0.0829073567520496</v>
      </c>
      <c r="BF142" s="18" t="n">
        <f aca="false">Algae_yield_cost_factor/N142</f>
        <v>0.0807163175885736</v>
      </c>
      <c r="BG142" s="18" t="n">
        <f aca="false">Algae_yield_cost_factor/O142</f>
        <v>0.0775903179219393</v>
      </c>
      <c r="BH142" s="18" t="n">
        <f aca="false">Algae_yield_cost_factor/P142</f>
        <v>0.0734416745837102</v>
      </c>
      <c r="BI142" s="18" t="n">
        <f aca="false">Algae_yield_cost_factor/Q142</f>
        <v>0.0684344518008599</v>
      </c>
      <c r="BJ142" s="18" t="n">
        <f aca="false">Algae_yield_cost_factor/R142</f>
        <v>0.0630393806192478</v>
      </c>
      <c r="BK142" s="18" t="n">
        <f aca="false">Algae_yield_cost_factor/S142</f>
        <v>0.057892873692573</v>
      </c>
      <c r="BL142" s="18" t="n">
        <f aca="false">Algae_yield_cost_factor/T142</f>
        <v>0.0535232587152323</v>
      </c>
      <c r="BM142" s="18" t="n">
        <f aca="false">Algae_yield_cost_factor/U142</f>
        <v>0.050165437271098</v>
      </c>
      <c r="BN142" s="18" t="n">
        <f aca="false">Algae_yield_cost_factor/V142</f>
        <v>0.0477775803282174</v>
      </c>
      <c r="BO142" s="18" t="n">
        <f aca="false">Algae_yield_cost_factor/W142</f>
        <v>0.0461715469231927</v>
      </c>
      <c r="BP142" s="18" t="n">
        <f aca="false">Algae_yield_cost_factor/X142</f>
        <v>0.0451314501026844</v>
      </c>
      <c r="BQ142" s="18" t="n">
        <f aca="false">Algae_yield_cost_factor/Y142</f>
        <v>0.0444742708335378</v>
      </c>
      <c r="BR142" s="18" t="n">
        <f aca="false">Algae_yield_cost_factor/Z142</f>
        <v>0.0440654840883132</v>
      </c>
      <c r="BS142" s="18" t="n">
        <f aca="false">Algae_yield_cost_factor/AA142</f>
        <v>0.0438136762596382</v>
      </c>
      <c r="BT142" s="18" t="n">
        <f aca="false">Algae_yield_cost_factor/AB142</f>
        <v>0.0436594974664017</v>
      </c>
      <c r="BU142" s="18" t="n">
        <f aca="false">Algae_yield_cost_factor/AC142</f>
        <v>0.0435654437797639</v>
      </c>
    </row>
    <row r="143" customFormat="false" ht="15" hidden="false" customHeight="false" outlineLevel="0" collapsed="false">
      <c r="A143" s="18" t="s">
        <v>711</v>
      </c>
      <c r="B143" s="18" t="s">
        <v>22</v>
      </c>
      <c r="C143" s="18" t="s">
        <v>684</v>
      </c>
      <c r="D143" s="18" t="s">
        <v>684</v>
      </c>
      <c r="E143" s="185" t="n">
        <v>8.4975</v>
      </c>
      <c r="F143" s="18" t="n">
        <f aca="false">E143/$B$2*$F$3/1000</f>
        <v>0.020818875</v>
      </c>
      <c r="G143" s="18" t="n">
        <f aca="false">LOOKUP(RIGHT(D143,5),Ref!$C$4:$C$21,Ref!$E$4:$E$21)*$G$3</f>
        <v>3.5</v>
      </c>
      <c r="H143" s="222" t="n">
        <f aca="false">$E143</f>
        <v>8.4975</v>
      </c>
      <c r="I143" s="185" t="n">
        <f aca="false">$E143</f>
        <v>8.4975</v>
      </c>
      <c r="J143" s="185" t="n">
        <f aca="false">$E143</f>
        <v>8.4975</v>
      </c>
      <c r="K143" s="185" t="n">
        <f aca="false">$E143</f>
        <v>8.4975</v>
      </c>
      <c r="L143" s="185" t="n">
        <f aca="false">$E143</f>
        <v>8.4975</v>
      </c>
      <c r="M143" s="185" t="n">
        <f aca="false">M$3*$E143</f>
        <v>8.90050135732637</v>
      </c>
      <c r="N143" s="185" t="n">
        <f aca="false">N$3*$E143</f>
        <v>9.14210488473052</v>
      </c>
      <c r="O143" s="185" t="n">
        <f aca="false">O$3*$E143</f>
        <v>9.51042682988295</v>
      </c>
      <c r="P143" s="185" t="n">
        <f aca="false">P$3*$E143</f>
        <v>10.0476608885445</v>
      </c>
      <c r="Q143" s="185" t="n">
        <f aca="false">Q$3*$E143</f>
        <v>10.7828297280915</v>
      </c>
      <c r="R143" s="185" t="n">
        <f aca="false">R$3*$E143</f>
        <v>11.7056518331122</v>
      </c>
      <c r="S143" s="185" t="n">
        <f aca="false">S$3*$E143</f>
        <v>12.74625</v>
      </c>
      <c r="T143" s="185" t="n">
        <f aca="false">T$3*$E143</f>
        <v>13.7868481668878</v>
      </c>
      <c r="U143" s="185" t="n">
        <f aca="false">U$3*$E143</f>
        <v>14.7096702719085</v>
      </c>
      <c r="V143" s="185" t="n">
        <f aca="false">V$3*$E143</f>
        <v>15.4448391114555</v>
      </c>
      <c r="W143" s="185" t="n">
        <f aca="false">W$3*$E143</f>
        <v>15.9820731701171</v>
      </c>
      <c r="X143" s="185" t="n">
        <f aca="false">X$3*$E143</f>
        <v>16.3503951152695</v>
      </c>
      <c r="Y143" s="185" t="n">
        <f aca="false">Y$3*$E143</f>
        <v>16.5919986426736</v>
      </c>
      <c r="Z143" s="185" t="n">
        <f aca="false">Z$3*$E143</f>
        <v>16.7459193191904</v>
      </c>
      <c r="AA143" s="185" t="n">
        <f aca="false">AA$3*$E143</f>
        <v>16.8421621808471</v>
      </c>
      <c r="AB143" s="185" t="n">
        <f aca="false">AB$3*$E143</f>
        <v>16.9016384549965</v>
      </c>
      <c r="AC143" s="185" t="n">
        <f aca="false">AC$3*$E143</f>
        <v>16.9381274992709</v>
      </c>
      <c r="AD143" s="219" t="n">
        <f aca="false">Algae_electricity_factor/H143</f>
        <v>0.00161736947378985</v>
      </c>
      <c r="AE143" s="220" t="n">
        <f aca="false">Algae_electricity_factor/I143</f>
        <v>0.00161736947378985</v>
      </c>
      <c r="AF143" s="220" t="n">
        <f aca="false">Algae_electricity_factor/J143</f>
        <v>0.00161736947378985</v>
      </c>
      <c r="AG143" s="220" t="n">
        <f aca="false">Algae_electricity_factor/K143</f>
        <v>0.00161736947378985</v>
      </c>
      <c r="AH143" s="220" t="n">
        <f aca="false">Algae_electricity_factor/L143</f>
        <v>0.00161736947378985</v>
      </c>
      <c r="AI143" s="220" t="n">
        <f aca="false">Algae_electricity_factor/M143</f>
        <v>0.00154413740886813</v>
      </c>
      <c r="AJ143" s="220" t="n">
        <f aca="false">Algae_electricity_factor/N143</f>
        <v>0.00150332962450303</v>
      </c>
      <c r="AK143" s="220" t="n">
        <f aca="false">Algae_electricity_factor/O143</f>
        <v>0.00144510833734036</v>
      </c>
      <c r="AL143" s="220" t="n">
        <f aca="false">Algae_electricity_factor/P143</f>
        <v>0.00136784046117625</v>
      </c>
      <c r="AM143" s="220" t="n">
        <f aca="false">Algae_electricity_factor/Q143</f>
        <v>0.0012745816682725</v>
      </c>
      <c r="AN143" s="220" t="n">
        <f aca="false">Algae_electricity_factor/R143</f>
        <v>0.00117409925559653</v>
      </c>
      <c r="AO143" s="220" t="n">
        <f aca="false">Algae_electricity_factor/S143</f>
        <v>0.0010782463158599</v>
      </c>
      <c r="AP143" s="220" t="n">
        <f aca="false">Algae_electricity_factor/T143</f>
        <v>0.000996862875195625</v>
      </c>
      <c r="AQ143" s="220" t="n">
        <f aca="false">Algae_electricity_factor/U143</f>
        <v>0.000934323941290231</v>
      </c>
      <c r="AR143" s="220" t="n">
        <f aca="false">Algae_electricity_factor/V143</f>
        <v>0.000889850454533747</v>
      </c>
      <c r="AS143" s="220" t="n">
        <f aca="false">Algae_electricity_factor/W143</f>
        <v>0.000859938316965458</v>
      </c>
      <c r="AT143" s="220" t="n">
        <f aca="false">Algae_electricity_factor/X143</f>
        <v>0.000840566665614964</v>
      </c>
      <c r="AU143" s="220" t="n">
        <f aca="false">Algae_electricity_factor/Y143</f>
        <v>0.000828326797724148</v>
      </c>
      <c r="AV143" s="220" t="n">
        <f aca="false">Algae_electricity_factor/Z143</f>
        <v>0.0008207132043076</v>
      </c>
      <c r="AW143" s="220" t="n">
        <f aca="false">Algae_electricity_factor/AA143</f>
        <v>0.000816023320281196</v>
      </c>
      <c r="AX143" s="220" t="n">
        <f aca="false">Algae_electricity_factor/AB143</f>
        <v>0.000813151762778733</v>
      </c>
      <c r="AY143" s="220" t="n">
        <f aca="false">Algae_electricity_factor/AC143</f>
        <v>0.000811400026603936</v>
      </c>
      <c r="AZ143" s="211" t="n">
        <f aca="false">Algae_yield_cost_factor/H143</f>
        <v>0.0895372308662804</v>
      </c>
      <c r="BA143" s="18" t="n">
        <f aca="false">Algae_yield_cost_factor/I143</f>
        <v>0.0895372308662804</v>
      </c>
      <c r="BB143" s="18" t="n">
        <f aca="false">Algae_yield_cost_factor/J143</f>
        <v>0.0895372308662804</v>
      </c>
      <c r="BC143" s="18" t="n">
        <f aca="false">Algae_yield_cost_factor/K143</f>
        <v>0.0895372308662804</v>
      </c>
      <c r="BD143" s="18" t="n">
        <f aca="false">Algae_yield_cost_factor/L143</f>
        <v>0.0895372308662804</v>
      </c>
      <c r="BE143" s="18" t="n">
        <f aca="false">Algae_yield_cost_factor/M143</f>
        <v>0.0854831192919191</v>
      </c>
      <c r="BF143" s="18" t="n">
        <f aca="false">Algae_yield_cost_factor/N143</f>
        <v>0.0832240090088012</v>
      </c>
      <c r="BG143" s="18" t="n">
        <f aca="false">Algae_yield_cost_factor/O143</f>
        <v>0.0800008909059219</v>
      </c>
      <c r="BH143" s="18" t="n">
        <f aca="false">Algae_yield_cost_factor/P143</f>
        <v>0.0757233576775731</v>
      </c>
      <c r="BI143" s="18" t="n">
        <f aca="false">Algae_yield_cost_factor/Q143</f>
        <v>0.0705605706917604</v>
      </c>
      <c r="BJ143" s="18" t="n">
        <f aca="false">Algae_yield_cost_factor/R143</f>
        <v>0.0649978856481954</v>
      </c>
      <c r="BK143" s="18" t="n">
        <f aca="false">Algae_yield_cost_factor/S143</f>
        <v>0.0596914872441869</v>
      </c>
      <c r="BL143" s="18" t="n">
        <f aca="false">Algae_yield_cost_factor/T143</f>
        <v>0.0551861172384239</v>
      </c>
      <c r="BM143" s="18" t="n">
        <f aca="false">Algae_yield_cost_factor/U143</f>
        <v>0.0517239751280641</v>
      </c>
      <c r="BN143" s="18" t="n">
        <f aca="false">Algae_yield_cost_factor/V143</f>
        <v>0.0492619323384145</v>
      </c>
      <c r="BO143" s="18" t="n">
        <f aca="false">Algae_yield_cost_factor/W143</f>
        <v>0.0476060027499327</v>
      </c>
      <c r="BP143" s="18" t="n">
        <f aca="false">Algae_yield_cost_factor/X143</f>
        <v>0.0465335922417969</v>
      </c>
      <c r="BQ143" s="18" t="n">
        <f aca="false">Algae_yield_cost_factor/Y143</f>
        <v>0.045855995752638</v>
      </c>
      <c r="BR143" s="18" t="n">
        <f aca="false">Algae_yield_cost_factor/Z143</f>
        <v>0.045434508836688</v>
      </c>
      <c r="BS143" s="18" t="n">
        <f aca="false">Algae_yield_cost_factor/AA143</f>
        <v>0.0451748778521707</v>
      </c>
      <c r="BT143" s="18" t="n">
        <f aca="false">Algae_yield_cost_factor/AB143</f>
        <v>0.0450159090381734</v>
      </c>
      <c r="BU143" s="18" t="n">
        <f aca="false">Algae_yield_cost_factor/AC143</f>
        <v>0.0449189332952517</v>
      </c>
    </row>
    <row r="144" customFormat="false" ht="15" hidden="false" customHeight="false" outlineLevel="0" collapsed="false">
      <c r="A144" s="18" t="s">
        <v>711</v>
      </c>
      <c r="B144" s="18" t="s">
        <v>22</v>
      </c>
      <c r="C144" s="18" t="s">
        <v>685</v>
      </c>
      <c r="D144" s="18" t="s">
        <v>685</v>
      </c>
      <c r="E144" s="185" t="n">
        <v>8.4645</v>
      </c>
      <c r="F144" s="18" t="n">
        <f aca="false">E144/$B$2*$F$3/1000</f>
        <v>0.020738025</v>
      </c>
      <c r="G144" s="18" t="n">
        <f aca="false">LOOKUP(RIGHT(D144,5),Ref!$C$4:$C$21,Ref!$E$4:$E$21)*$G$3</f>
        <v>4</v>
      </c>
      <c r="H144" s="222" t="n">
        <f aca="false">$E144</f>
        <v>8.4645</v>
      </c>
      <c r="I144" s="185" t="n">
        <f aca="false">$E144</f>
        <v>8.4645</v>
      </c>
      <c r="J144" s="185" t="n">
        <f aca="false">$E144</f>
        <v>8.4645</v>
      </c>
      <c r="K144" s="185" t="n">
        <f aca="false">$E144</f>
        <v>8.4645</v>
      </c>
      <c r="L144" s="185" t="n">
        <f aca="false">$E144</f>
        <v>8.4645</v>
      </c>
      <c r="M144" s="185" t="n">
        <f aca="false">M$3*$E144</f>
        <v>8.86593630351151</v>
      </c>
      <c r="N144" s="185" t="n">
        <f aca="false">N$3*$E144</f>
        <v>9.10660156478982</v>
      </c>
      <c r="O144" s="185" t="n">
        <f aca="false">O$3*$E144</f>
        <v>9.47349313345622</v>
      </c>
      <c r="P144" s="185" t="n">
        <f aca="false">P$3*$E144</f>
        <v>10.0086408462589</v>
      </c>
      <c r="Q144" s="185" t="n">
        <f aca="false">Q$3*$E144</f>
        <v>10.7409546611863</v>
      </c>
      <c r="R144" s="185" t="n">
        <f aca="false">R$3*$E144</f>
        <v>11.6601929910419</v>
      </c>
      <c r="S144" s="185" t="n">
        <f aca="false">S$3*$E144</f>
        <v>12.69675</v>
      </c>
      <c r="T144" s="185" t="n">
        <f aca="false">T$3*$E144</f>
        <v>13.7333070089581</v>
      </c>
      <c r="U144" s="185" t="n">
        <f aca="false">U$3*$E144</f>
        <v>14.6525453388137</v>
      </c>
      <c r="V144" s="185" t="n">
        <f aca="false">V$3*$E144</f>
        <v>15.3848591537411</v>
      </c>
      <c r="W144" s="185" t="n">
        <f aca="false">W$3*$E144</f>
        <v>15.9200068665438</v>
      </c>
      <c r="X144" s="185" t="n">
        <f aca="false">X$3*$E144</f>
        <v>16.2868984352102</v>
      </c>
      <c r="Y144" s="185" t="n">
        <f aca="false">Y$3*$E144</f>
        <v>16.5275636964885</v>
      </c>
      <c r="Z144" s="185" t="n">
        <f aca="false">Z$3*$E144</f>
        <v>16.6808866228051</v>
      </c>
      <c r="AA144" s="185" t="n">
        <f aca="false">AA$3*$E144</f>
        <v>16.7767557257759</v>
      </c>
      <c r="AB144" s="185" t="n">
        <f aca="false">AB$3*$E144</f>
        <v>16.8360010241033</v>
      </c>
      <c r="AC144" s="185" t="n">
        <f aca="false">AC$3*$E144</f>
        <v>16.8723483633514</v>
      </c>
      <c r="AD144" s="219" t="n">
        <f aca="false">Algae_electricity_factor/H144</f>
        <v>0.00162367500780073</v>
      </c>
      <c r="AE144" s="220" t="n">
        <f aca="false">Algae_electricity_factor/I144</f>
        <v>0.00162367500780073</v>
      </c>
      <c r="AF144" s="220" t="n">
        <f aca="false">Algae_electricity_factor/J144</f>
        <v>0.00162367500780073</v>
      </c>
      <c r="AG144" s="220" t="n">
        <f aca="false">Algae_electricity_factor/K144</f>
        <v>0.00162367500780073</v>
      </c>
      <c r="AH144" s="220" t="n">
        <f aca="false">Algae_electricity_factor/L144</f>
        <v>0.00162367500780073</v>
      </c>
      <c r="AI144" s="220" t="n">
        <f aca="false">Algae_electricity_factor/M144</f>
        <v>0.00155015743775261</v>
      </c>
      <c r="AJ144" s="220" t="n">
        <f aca="false">Algae_electricity_factor/N144</f>
        <v>0.00150919055871162</v>
      </c>
      <c r="AK144" s="220" t="n">
        <f aca="false">Algae_electricity_factor/O144</f>
        <v>0.00145074228797326</v>
      </c>
      <c r="AL144" s="220" t="n">
        <f aca="false">Algae_electricity_factor/P144</f>
        <v>0.00137317317252586</v>
      </c>
      <c r="AM144" s="220" t="n">
        <f aca="false">Algae_electricity_factor/Q144</f>
        <v>0.00127955079758351</v>
      </c>
      <c r="AN144" s="220" t="n">
        <f aca="false">Algae_electricity_factor/R144</f>
        <v>0.0011786766406086</v>
      </c>
      <c r="AO144" s="220" t="n">
        <f aca="false">Algae_electricity_factor/S144</f>
        <v>0.00108245000520049</v>
      </c>
      <c r="AP144" s="220" t="n">
        <f aca="false">Algae_electricity_factor/T144</f>
        <v>0.00100074928016715</v>
      </c>
      <c r="AQ144" s="220" t="n">
        <f aca="false">Algae_electricity_factor/U144</f>
        <v>0.0009379665297553</v>
      </c>
      <c r="AR144" s="220" t="n">
        <f aca="false">Algae_electricity_factor/V144</f>
        <v>0.000893319657085536</v>
      </c>
      <c r="AS144" s="220" t="n">
        <f aca="false">Algae_electricity_factor/W144</f>
        <v>0.000863290902996512</v>
      </c>
      <c r="AT144" s="220" t="n">
        <f aca="false">Algae_electricity_factor/X144</f>
        <v>0.000843843728638804</v>
      </c>
      <c r="AU144" s="220" t="n">
        <f aca="false">Algae_electricity_factor/Y144</f>
        <v>0.000831556141964788</v>
      </c>
      <c r="AV144" s="220" t="n">
        <f aca="false">Algae_electricity_factor/Z144</f>
        <v>0.000823912865922834</v>
      </c>
      <c r="AW144" s="220" t="n">
        <f aca="false">Algae_electricity_factor/AA144</f>
        <v>0.000819204697748179</v>
      </c>
      <c r="AX144" s="220" t="n">
        <f aca="false">Algae_electricity_factor/AB144</f>
        <v>0.000816321945089761</v>
      </c>
      <c r="AY144" s="220" t="n">
        <f aca="false">Algae_electricity_factor/AC144</f>
        <v>0.000814563379534166</v>
      </c>
      <c r="AZ144" s="211" t="n">
        <f aca="false">Algae_yield_cost_factor/H144</f>
        <v>0.0898863038911002</v>
      </c>
      <c r="BA144" s="18" t="n">
        <f aca="false">Algae_yield_cost_factor/I144</f>
        <v>0.0898863038911002</v>
      </c>
      <c r="BB144" s="18" t="n">
        <f aca="false">Algae_yield_cost_factor/J144</f>
        <v>0.0898863038911002</v>
      </c>
      <c r="BC144" s="18" t="n">
        <f aca="false">Algae_yield_cost_factor/K144</f>
        <v>0.0898863038911002</v>
      </c>
      <c r="BD144" s="18" t="n">
        <f aca="false">Algae_yield_cost_factor/L144</f>
        <v>0.0898863038911002</v>
      </c>
      <c r="BE144" s="18" t="n">
        <f aca="false">Algae_yield_cost_factor/M144</f>
        <v>0.085816386813525</v>
      </c>
      <c r="BF144" s="18" t="n">
        <f aca="false">Algae_yield_cost_factor/N144</f>
        <v>0.0835484690829096</v>
      </c>
      <c r="BG144" s="18" t="n">
        <f aca="false">Algae_yield_cost_factor/O144</f>
        <v>0.0803127852174459</v>
      </c>
      <c r="BH144" s="18" t="n">
        <f aca="false">Algae_yield_cost_factor/P144</f>
        <v>0.0760185754462965</v>
      </c>
      <c r="BI144" s="18" t="n">
        <f aca="false">Algae_yield_cost_factor/Q144</f>
        <v>0.0708356606359777</v>
      </c>
      <c r="BJ144" s="18" t="n">
        <f aca="false">Algae_yield_cost_factor/R144</f>
        <v>0.0652512887111513</v>
      </c>
      <c r="BK144" s="18" t="n">
        <f aca="false">Algae_yield_cost_factor/S144</f>
        <v>0.0599242025940668</v>
      </c>
      <c r="BL144" s="18" t="n">
        <f aca="false">Algae_yield_cost_factor/T144</f>
        <v>0.0554012677929597</v>
      </c>
      <c r="BM144" s="18" t="n">
        <f aca="false">Algae_yield_cost_factor/U144</f>
        <v>0.05192562805254</v>
      </c>
      <c r="BN144" s="18" t="n">
        <f aca="false">Algae_yield_cost_factor/V144</f>
        <v>0.0494539866555233</v>
      </c>
      <c r="BO144" s="18" t="n">
        <f aca="false">Algae_yield_cost_factor/W144</f>
        <v>0.0477916012011995</v>
      </c>
      <c r="BP144" s="18" t="n">
        <f aca="false">Algae_yield_cost_factor/X144</f>
        <v>0.0467150097554101</v>
      </c>
      <c r="BQ144" s="18" t="n">
        <f aca="false">Algae_yield_cost_factor/Y144</f>
        <v>0.0460347715645391</v>
      </c>
      <c r="BR144" s="18" t="n">
        <f aca="false">Algae_yield_cost_factor/Z144</f>
        <v>0.0456116414247452</v>
      </c>
      <c r="BS144" s="18" t="n">
        <f aca="false">Algae_yield_cost_factor/AA144</f>
        <v>0.0453509982336606</v>
      </c>
      <c r="BT144" s="18" t="n">
        <f aca="false">Algae_yield_cost_factor/AB144</f>
        <v>0.0451914096582053</v>
      </c>
      <c r="BU144" s="18" t="n">
        <f aca="false">Algae_yield_cost_factor/AC144</f>
        <v>0.0450940558422118</v>
      </c>
    </row>
    <row r="145" customFormat="false" ht="15" hidden="false" customHeight="false" outlineLevel="0" collapsed="false">
      <c r="A145" s="18" t="s">
        <v>711</v>
      </c>
      <c r="B145" s="18" t="s">
        <v>22</v>
      </c>
      <c r="C145" s="18" t="s">
        <v>686</v>
      </c>
      <c r="D145" s="18" t="s">
        <v>686</v>
      </c>
      <c r="E145" s="185" t="n">
        <v>7.89525</v>
      </c>
      <c r="F145" s="18" t="n">
        <f aca="false">E145/$B$2*$F$3/1000</f>
        <v>0.0193433625</v>
      </c>
      <c r="G145" s="18" t="n">
        <f aca="false">LOOKUP(RIGHT(D145,5),Ref!$C$4:$C$21,Ref!$E$4:$E$21)*$G$3</f>
        <v>4.5</v>
      </c>
      <c r="H145" s="222" t="n">
        <f aca="false">$E145</f>
        <v>7.89525</v>
      </c>
      <c r="I145" s="185" t="n">
        <f aca="false">$E145</f>
        <v>7.89525</v>
      </c>
      <c r="J145" s="185" t="n">
        <f aca="false">$E145</f>
        <v>7.89525</v>
      </c>
      <c r="K145" s="185" t="n">
        <f aca="false">$E145</f>
        <v>7.89525</v>
      </c>
      <c r="L145" s="185" t="n">
        <f aca="false">$E145</f>
        <v>7.89525</v>
      </c>
      <c r="M145" s="185" t="n">
        <f aca="false">M$3*$E145</f>
        <v>8.26968912520518</v>
      </c>
      <c r="N145" s="185" t="n">
        <f aca="false">N$3*$E145</f>
        <v>8.49416929581272</v>
      </c>
      <c r="O145" s="185" t="n">
        <f aca="false">O$3*$E145</f>
        <v>8.83638687009512</v>
      </c>
      <c r="P145" s="185" t="n">
        <f aca="false">P$3*$E145</f>
        <v>9.33554511683214</v>
      </c>
      <c r="Q145" s="185" t="n">
        <f aca="false">Q$3*$E145</f>
        <v>10.0186097570715</v>
      </c>
      <c r="R145" s="185" t="n">
        <f aca="false">R$3*$E145</f>
        <v>10.8760279653286</v>
      </c>
      <c r="S145" s="185" t="n">
        <f aca="false">S$3*$E145</f>
        <v>11.842875</v>
      </c>
      <c r="T145" s="185" t="n">
        <f aca="false">T$3*$E145</f>
        <v>12.8097220346714</v>
      </c>
      <c r="U145" s="185" t="n">
        <f aca="false">U$3*$E145</f>
        <v>13.6671402429285</v>
      </c>
      <c r="V145" s="185" t="n">
        <f aca="false">V$3*$E145</f>
        <v>14.3502048831679</v>
      </c>
      <c r="W145" s="185" t="n">
        <f aca="false">W$3*$E145</f>
        <v>14.8493631299049</v>
      </c>
      <c r="X145" s="185" t="n">
        <f aca="false">X$3*$E145</f>
        <v>15.1915807041873</v>
      </c>
      <c r="Y145" s="185" t="n">
        <f aca="false">Y$3*$E145</f>
        <v>15.4160608747948</v>
      </c>
      <c r="Z145" s="185" t="n">
        <f aca="false">Z$3*$E145</f>
        <v>15.5590726101604</v>
      </c>
      <c r="AA145" s="185" t="n">
        <f aca="false">AA$3*$E145</f>
        <v>15.6484943757968</v>
      </c>
      <c r="AB145" s="185" t="n">
        <f aca="false">AB$3*$E145</f>
        <v>15.7037553411958</v>
      </c>
      <c r="AC145" s="185" t="n">
        <f aca="false">AC$3*$E145</f>
        <v>15.73765826874</v>
      </c>
      <c r="AD145" s="219" t="n">
        <f aca="false">Algae_electricity_factor/H145</f>
        <v>0.00174074248485219</v>
      </c>
      <c r="AE145" s="220" t="n">
        <f aca="false">Algae_electricity_factor/I145</f>
        <v>0.00174074248485219</v>
      </c>
      <c r="AF145" s="220" t="n">
        <f aca="false">Algae_electricity_factor/J145</f>
        <v>0.00174074248485219</v>
      </c>
      <c r="AG145" s="220" t="n">
        <f aca="false">Algae_electricity_factor/K145</f>
        <v>0.00174074248485219</v>
      </c>
      <c r="AH145" s="220" t="n">
        <f aca="false">Algae_electricity_factor/L145</f>
        <v>0.00174074248485219</v>
      </c>
      <c r="AI145" s="220" t="n">
        <f aca="false">Algae_electricity_factor/M145</f>
        <v>0.00166192427495734</v>
      </c>
      <c r="AJ145" s="220" t="n">
        <f aca="false">Algae_electricity_factor/N145</f>
        <v>0.00161800367109522</v>
      </c>
      <c r="AK145" s="220" t="n">
        <f aca="false">Algae_electricity_factor/O145</f>
        <v>0.00155534126171428</v>
      </c>
      <c r="AL145" s="220" t="n">
        <f aca="false">Algae_electricity_factor/P145</f>
        <v>0.00147217938872679</v>
      </c>
      <c r="AM145" s="220" t="n">
        <f aca="false">Algae_electricity_factor/Q145</f>
        <v>0.00137180681120238</v>
      </c>
      <c r="AN145" s="220" t="n">
        <f aca="false">Algae_electricity_factor/R145</f>
        <v>0.00126365959588759</v>
      </c>
      <c r="AO145" s="220" t="n">
        <f aca="false">Algae_electricity_factor/S145</f>
        <v>0.00116049498990146</v>
      </c>
      <c r="AP145" s="220" t="n">
        <f aca="false">Algae_electricity_factor/T145</f>
        <v>0.00107290361698171</v>
      </c>
      <c r="AQ145" s="220" t="n">
        <f aca="false">Algae_electricity_factor/U145</f>
        <v>0.00100559421058405</v>
      </c>
      <c r="AR145" s="220" t="n">
        <f aca="false">Algae_electricity_factor/V145</f>
        <v>0.000957728284398913</v>
      </c>
      <c r="AS145" s="220" t="n">
        <f aca="false">Algae_electricity_factor/W145</f>
        <v>0.000925534447726668</v>
      </c>
      <c r="AT145" s="220" t="n">
        <f aca="false">Algae_electricity_factor/X145</f>
        <v>0.000904685126001476</v>
      </c>
      <c r="AU145" s="220" t="n">
        <f aca="false">Algae_electricity_factor/Y145</f>
        <v>0.000891511600476356</v>
      </c>
      <c r="AV145" s="220" t="n">
        <f aca="false">Algae_electricity_factor/Z145</f>
        <v>0.000883317241835766</v>
      </c>
      <c r="AW145" s="220" t="n">
        <f aca="false">Algae_electricity_factor/AA145</f>
        <v>0.000878269613259803</v>
      </c>
      <c r="AX145" s="220" t="n">
        <f aca="false">Algae_electricity_factor/AB145</f>
        <v>0.00087517901323103</v>
      </c>
      <c r="AY145" s="220" t="n">
        <f aca="false">Algae_electricity_factor/AC145</f>
        <v>0.000873293654547601</v>
      </c>
      <c r="AZ145" s="211" t="n">
        <f aca="false">Algae_yield_cost_factor/H145</f>
        <v>0.0963671345791733</v>
      </c>
      <c r="BA145" s="18" t="n">
        <f aca="false">Algae_yield_cost_factor/I145</f>
        <v>0.0963671345791733</v>
      </c>
      <c r="BB145" s="18" t="n">
        <f aca="false">Algae_yield_cost_factor/J145</f>
        <v>0.0963671345791733</v>
      </c>
      <c r="BC145" s="18" t="n">
        <f aca="false">Algae_yield_cost_factor/K145</f>
        <v>0.0963671345791733</v>
      </c>
      <c r="BD145" s="18" t="n">
        <f aca="false">Algae_yield_cost_factor/L145</f>
        <v>0.0963671345791733</v>
      </c>
      <c r="BE145" s="18" t="n">
        <f aca="false">Algae_yield_cost_factor/M145</f>
        <v>0.0920037752044688</v>
      </c>
      <c r="BF145" s="18" t="n">
        <f aca="false">Algae_yield_cost_factor/N145</f>
        <v>0.08957233989453</v>
      </c>
      <c r="BG145" s="18" t="n">
        <f aca="false">Algae_yield_cost_factor/O145</f>
        <v>0.0861033622080455</v>
      </c>
      <c r="BH145" s="18" t="n">
        <f aca="false">Algae_yield_cost_factor/P145</f>
        <v>0.081499538566249</v>
      </c>
      <c r="BI145" s="18" t="n">
        <f aca="false">Algae_yield_cost_factor/Q145</f>
        <v>0.075942933973368</v>
      </c>
      <c r="BJ145" s="18" t="n">
        <f aca="false">Algae_yield_cost_factor/R145</f>
        <v>0.0699559270821747</v>
      </c>
      <c r="BK145" s="18" t="n">
        <f aca="false">Algae_yield_cost_factor/S145</f>
        <v>0.0642447563861155</v>
      </c>
      <c r="BL145" s="18" t="n">
        <f aca="false">Algae_yield_cost_factor/T145</f>
        <v>0.0593957165680007</v>
      </c>
      <c r="BM145" s="18" t="n">
        <f aca="false">Algae_yield_cost_factor/U145</f>
        <v>0.0556694821127545</v>
      </c>
      <c r="BN145" s="18" t="n">
        <f aca="false">Algae_yield_cost_factor/V145</f>
        <v>0.0530196345962037</v>
      </c>
      <c r="BO145" s="18" t="n">
        <f aca="false">Algae_yield_cost_factor/W145</f>
        <v>0.0512373906294991</v>
      </c>
      <c r="BP145" s="18" t="n">
        <f aca="false">Algae_yield_cost_factor/X145</f>
        <v>0.0500831766029789</v>
      </c>
      <c r="BQ145" s="18" t="n">
        <f aca="false">Algae_yield_cost_factor/Y145</f>
        <v>0.0493538930253053</v>
      </c>
      <c r="BR145" s="18" t="n">
        <f aca="false">Algae_yield_cost_factor/Z145</f>
        <v>0.0489002550697896</v>
      </c>
      <c r="BS145" s="18" t="n">
        <f aca="false">Algae_yield_cost_factor/AA145</f>
        <v>0.0486208194229214</v>
      </c>
      <c r="BT145" s="18" t="n">
        <f aca="false">Algae_yield_cost_factor/AB145</f>
        <v>0.048449724461148</v>
      </c>
      <c r="BU145" s="18" t="n">
        <f aca="false">Algae_yield_cost_factor/AC145</f>
        <v>0.0483453514045029</v>
      </c>
    </row>
    <row r="146" customFormat="false" ht="15" hidden="false" customHeight="false" outlineLevel="0" collapsed="false">
      <c r="A146" s="18" t="s">
        <v>711</v>
      </c>
      <c r="B146" s="18" t="s">
        <v>22</v>
      </c>
      <c r="C146" s="18" t="s">
        <v>687</v>
      </c>
      <c r="D146" s="18" t="s">
        <v>687</v>
      </c>
      <c r="E146" s="185" t="n">
        <v>8.40675</v>
      </c>
      <c r="F146" s="18" t="n">
        <f aca="false">E146/$B$2*$F$3/1000</f>
        <v>0.0205965375</v>
      </c>
      <c r="G146" s="18" t="n">
        <f aca="false">LOOKUP(RIGHT(D146,5),Ref!$C$4:$C$21,Ref!$E$4:$E$21)*$G$3</f>
        <v>4.5</v>
      </c>
      <c r="H146" s="222" t="n">
        <f aca="false">$E146</f>
        <v>8.40675</v>
      </c>
      <c r="I146" s="185" t="n">
        <f aca="false">$E146</f>
        <v>8.40675</v>
      </c>
      <c r="J146" s="185" t="n">
        <f aca="false">$E146</f>
        <v>8.40675</v>
      </c>
      <c r="K146" s="185" t="n">
        <f aca="false">$E146</f>
        <v>8.40675</v>
      </c>
      <c r="L146" s="185" t="n">
        <f aca="false">$E146</f>
        <v>8.40675</v>
      </c>
      <c r="M146" s="185" t="n">
        <f aca="false">M$3*$E146</f>
        <v>8.80544745933551</v>
      </c>
      <c r="N146" s="185" t="n">
        <f aca="false">N$3*$E146</f>
        <v>9.04447075489359</v>
      </c>
      <c r="O146" s="185" t="n">
        <f aca="false">O$3*$E146</f>
        <v>9.40885916470944</v>
      </c>
      <c r="P146" s="185" t="n">
        <f aca="false">P$3*$E146</f>
        <v>9.94035577225909</v>
      </c>
      <c r="Q146" s="185" t="n">
        <f aca="false">Q$3*$E146</f>
        <v>10.6676732941022</v>
      </c>
      <c r="R146" s="185" t="n">
        <f aca="false">R$3*$E146</f>
        <v>11.5806400174188</v>
      </c>
      <c r="S146" s="185" t="n">
        <f aca="false">S$3*$E146</f>
        <v>12.610125</v>
      </c>
      <c r="T146" s="185" t="n">
        <f aca="false">T$3*$E146</f>
        <v>13.6396099825812</v>
      </c>
      <c r="U146" s="185" t="n">
        <f aca="false">U$3*$E146</f>
        <v>14.5525767058978</v>
      </c>
      <c r="V146" s="185" t="n">
        <f aca="false">V$3*$E146</f>
        <v>15.2798942277409</v>
      </c>
      <c r="W146" s="185" t="n">
        <f aca="false">W$3*$E146</f>
        <v>15.8113908352906</v>
      </c>
      <c r="X146" s="185" t="n">
        <f aca="false">X$3*$E146</f>
        <v>16.1757792451064</v>
      </c>
      <c r="Y146" s="185" t="n">
        <f aca="false">Y$3*$E146</f>
        <v>16.4148025406645</v>
      </c>
      <c r="Z146" s="185" t="n">
        <f aca="false">Z$3*$E146</f>
        <v>16.567079404131</v>
      </c>
      <c r="AA146" s="185" t="n">
        <f aca="false">AA$3*$E146</f>
        <v>16.6622944294012</v>
      </c>
      <c r="AB146" s="185" t="n">
        <f aca="false">AB$3*$E146</f>
        <v>16.7211355200403</v>
      </c>
      <c r="AC146" s="185" t="n">
        <f aca="false">AC$3*$E146</f>
        <v>16.7572348754923</v>
      </c>
      <c r="AD146" s="219" t="n">
        <f aca="false">Algae_electricity_factor/H146</f>
        <v>0.00163482881060211</v>
      </c>
      <c r="AE146" s="220" t="n">
        <f aca="false">Algae_electricity_factor/I146</f>
        <v>0.00163482881060211</v>
      </c>
      <c r="AF146" s="220" t="n">
        <f aca="false">Algae_electricity_factor/J146</f>
        <v>0.00163482881060211</v>
      </c>
      <c r="AG146" s="220" t="n">
        <f aca="false">Algae_electricity_factor/K146</f>
        <v>0.00163482881060211</v>
      </c>
      <c r="AH146" s="220" t="n">
        <f aca="false">Algae_electricity_factor/L146</f>
        <v>0.00163482881060211</v>
      </c>
      <c r="AI146" s="220" t="n">
        <f aca="false">Algae_electricity_factor/M146</f>
        <v>0.00156080621308555</v>
      </c>
      <c r="AJ146" s="220" t="n">
        <f aca="false">Algae_electricity_factor/N146</f>
        <v>0.00151955791289315</v>
      </c>
      <c r="AK146" s="220" t="n">
        <f aca="false">Algae_electricity_factor/O146</f>
        <v>0.00146070813293481</v>
      </c>
      <c r="AL146" s="220" t="n">
        <f aca="false">Algae_electricity_factor/P146</f>
        <v>0.00138260615800936</v>
      </c>
      <c r="AM146" s="220" t="n">
        <f aca="false">Algae_electricity_factor/Q146</f>
        <v>0.00128834064604581</v>
      </c>
      <c r="AN146" s="220" t="n">
        <f aca="false">Algae_electricity_factor/R146</f>
        <v>0.00118677353607893</v>
      </c>
      <c r="AO146" s="220" t="n">
        <f aca="false">Algae_electricity_factor/S146</f>
        <v>0.00108988587373474</v>
      </c>
      <c r="AP146" s="220" t="n">
        <f aca="false">Algae_electricity_factor/T146</f>
        <v>0.00100762390721442</v>
      </c>
      <c r="AQ146" s="220" t="n">
        <f aca="false">Algae_electricity_factor/U146</f>
        <v>0.000944409871961666</v>
      </c>
      <c r="AR146" s="220" t="n">
        <f aca="false">Algae_electricity_factor/V146</f>
        <v>0.000899456298498292</v>
      </c>
      <c r="AS146" s="220" t="n">
        <f aca="false">Algae_electricity_factor/W146</f>
        <v>0.000869221262487165</v>
      </c>
      <c r="AT146" s="220" t="n">
        <f aca="false">Algae_electricity_factor/X146</f>
        <v>0.00084964049615644</v>
      </c>
      <c r="AU146" s="220" t="n">
        <f aca="false">Algae_electricity_factor/Y146</f>
        <v>0.000837268500152966</v>
      </c>
      <c r="AV146" s="220" t="n">
        <f aca="false">Algae_electricity_factor/Z146</f>
        <v>0.000829572718780008</v>
      </c>
      <c r="AW146" s="220" t="n">
        <f aca="false">Algae_electricity_factor/AA146</f>
        <v>0.000824832207938795</v>
      </c>
      <c r="AX146" s="220" t="n">
        <f aca="false">Algae_electricity_factor/AB146</f>
        <v>0.000821929652268985</v>
      </c>
      <c r="AY146" s="220" t="n">
        <f aca="false">Algae_electricity_factor/AC146</f>
        <v>0.000820159006282683</v>
      </c>
      <c r="AZ146" s="211" t="n">
        <f aca="false">Algae_yield_cost_factor/H146</f>
        <v>0.0905037760473688</v>
      </c>
      <c r="BA146" s="18" t="n">
        <f aca="false">Algae_yield_cost_factor/I146</f>
        <v>0.0905037760473688</v>
      </c>
      <c r="BB146" s="18" t="n">
        <f aca="false">Algae_yield_cost_factor/J146</f>
        <v>0.0905037760473688</v>
      </c>
      <c r="BC146" s="18" t="n">
        <f aca="false">Algae_yield_cost_factor/K146</f>
        <v>0.0905037760473688</v>
      </c>
      <c r="BD146" s="18" t="n">
        <f aca="false">Algae_yield_cost_factor/L146</f>
        <v>0.0905037760473688</v>
      </c>
      <c r="BE146" s="18" t="n">
        <f aca="false">Algae_yield_cost_factor/M146</f>
        <v>0.0864059007563068</v>
      </c>
      <c r="BF146" s="18" t="n">
        <f aca="false">Algae_yield_cost_factor/N146</f>
        <v>0.0841224036104664</v>
      </c>
      <c r="BG146" s="18" t="n">
        <f aca="false">Algae_yield_cost_factor/O146</f>
        <v>0.0808644922797837</v>
      </c>
      <c r="BH146" s="18" t="n">
        <f aca="false">Algae_yield_cost_factor/P146</f>
        <v>0.0765407835210012</v>
      </c>
      <c r="BI146" s="18" t="n">
        <f aca="false">Algae_yield_cost_factor/Q146</f>
        <v>0.0713222647816616</v>
      </c>
      <c r="BJ146" s="18" t="n">
        <f aca="false">Algae_yield_cost_factor/R146</f>
        <v>0.0656995311262426</v>
      </c>
      <c r="BK146" s="18" t="n">
        <f aca="false">Algae_yield_cost_factor/S146</f>
        <v>0.0603358506982459</v>
      </c>
      <c r="BL146" s="18" t="n">
        <f aca="false">Algae_yield_cost_factor/T146</f>
        <v>0.0557818456875139</v>
      </c>
      <c r="BM146" s="18" t="n">
        <f aca="false">Algae_yield_cost_factor/U146</f>
        <v>0.0522823301098195</v>
      </c>
      <c r="BN146" s="18" t="n">
        <f aca="false">Algae_yield_cost_factor/V146</f>
        <v>0.0497937098219499</v>
      </c>
      <c r="BO146" s="18" t="n">
        <f aca="false">Algae_yield_cost_factor/W146</f>
        <v>0.048119904644191</v>
      </c>
      <c r="BP146" s="18" t="n">
        <f aca="false">Algae_yield_cost_factor/X146</f>
        <v>0.0470359175751235</v>
      </c>
      <c r="BQ146" s="18" t="n">
        <f aca="false">Algae_yield_cost_factor/Y146</f>
        <v>0.0463510065016852</v>
      </c>
      <c r="BR146" s="18" t="n">
        <f aca="false">Algae_yield_cost_factor/Z146</f>
        <v>0.0459249696779084</v>
      </c>
      <c r="BS146" s="18" t="n">
        <f aca="false">Algae_yield_cost_factor/AA146</f>
        <v>0.0456625360036662</v>
      </c>
      <c r="BT146" s="18" t="n">
        <f aca="false">Algae_yield_cost_factor/AB146</f>
        <v>0.0455018511377023</v>
      </c>
      <c r="BU146" s="18" t="n">
        <f aca="false">Algae_yield_cost_factor/AC146</f>
        <v>0.0454038285516283</v>
      </c>
    </row>
    <row r="147" customFormat="false" ht="15" hidden="false" customHeight="false" outlineLevel="0" collapsed="false">
      <c r="A147" s="18" t="s">
        <v>711</v>
      </c>
      <c r="B147" s="18" t="s">
        <v>22</v>
      </c>
      <c r="C147" s="18" t="s">
        <v>688</v>
      </c>
      <c r="D147" s="18" t="s">
        <v>688</v>
      </c>
      <c r="E147" s="185" t="n">
        <v>9.05025</v>
      </c>
      <c r="F147" s="18" t="n">
        <f aca="false">E147/$B$2*$F$3/1000</f>
        <v>0.0221731125</v>
      </c>
      <c r="G147" s="18" t="n">
        <f aca="false">LOOKUP(RIGHT(D147,5),Ref!$C$4:$C$21,Ref!$E$4:$E$21)*$G$3</f>
        <v>4.5</v>
      </c>
      <c r="H147" s="222" t="n">
        <f aca="false">$E147</f>
        <v>9.05025</v>
      </c>
      <c r="I147" s="185" t="n">
        <f aca="false">$E147</f>
        <v>9.05025</v>
      </c>
      <c r="J147" s="185" t="n">
        <f aca="false">$E147</f>
        <v>9.05025</v>
      </c>
      <c r="K147" s="185" t="n">
        <f aca="false">$E147</f>
        <v>9.05025</v>
      </c>
      <c r="L147" s="185" t="n">
        <f aca="false">$E147</f>
        <v>9.05025</v>
      </c>
      <c r="M147" s="185" t="n">
        <f aca="false">M$3*$E147</f>
        <v>9.47946600872527</v>
      </c>
      <c r="N147" s="185" t="n">
        <f aca="false">N$3*$E147</f>
        <v>9.73678549373726</v>
      </c>
      <c r="O147" s="185" t="n">
        <f aca="false">O$3*$E147</f>
        <v>10.1290662450307</v>
      </c>
      <c r="P147" s="185" t="n">
        <f aca="false">P$3*$E147</f>
        <v>10.7012465968285</v>
      </c>
      <c r="Q147" s="185" t="n">
        <f aca="false">Q$3*$E147</f>
        <v>11.4842370987538</v>
      </c>
      <c r="R147" s="185" t="n">
        <f aca="false">R$3*$E147</f>
        <v>12.4670874377904</v>
      </c>
      <c r="S147" s="185" t="n">
        <f aca="false">S$3*$E147</f>
        <v>13.575375</v>
      </c>
      <c r="T147" s="185" t="n">
        <f aca="false">T$3*$E147</f>
        <v>14.6836625622096</v>
      </c>
      <c r="U147" s="185" t="n">
        <f aca="false">U$3*$E147</f>
        <v>15.6665129012462</v>
      </c>
      <c r="V147" s="185" t="n">
        <f aca="false">V$3*$E147</f>
        <v>16.4495034031715</v>
      </c>
      <c r="W147" s="185" t="n">
        <f aca="false">W$3*$E147</f>
        <v>17.0216837549693</v>
      </c>
      <c r="X147" s="185" t="n">
        <f aca="false">X$3*$E147</f>
        <v>17.4139645062627</v>
      </c>
      <c r="Y147" s="185" t="n">
        <f aca="false">Y$3*$E147</f>
        <v>17.6712839912747</v>
      </c>
      <c r="Z147" s="185" t="n">
        <f aca="false">Z$3*$E147</f>
        <v>17.8352169836425</v>
      </c>
      <c r="AA147" s="185" t="n">
        <f aca="false">AA$3*$E147</f>
        <v>17.9377203032906</v>
      </c>
      <c r="AB147" s="185" t="n">
        <f aca="false">AB$3*$E147</f>
        <v>18.0010654224575</v>
      </c>
      <c r="AC147" s="185" t="n">
        <f aca="false">AC$3*$E147</f>
        <v>18.0399280259225</v>
      </c>
      <c r="AD147" s="219" t="n">
        <f aca="false">Algae_electricity_factor/H147</f>
        <v>0.00151858756426941</v>
      </c>
      <c r="AE147" s="220" t="n">
        <f aca="false">Algae_electricity_factor/I147</f>
        <v>0.00151858756426941</v>
      </c>
      <c r="AF147" s="220" t="n">
        <f aca="false">Algae_electricity_factor/J147</f>
        <v>0.00151858756426941</v>
      </c>
      <c r="AG147" s="220" t="n">
        <f aca="false">Algae_electricity_factor/K147</f>
        <v>0.00151858756426941</v>
      </c>
      <c r="AH147" s="220" t="n">
        <f aca="false">Algae_electricity_factor/L147</f>
        <v>0.00151858756426941</v>
      </c>
      <c r="AI147" s="220" t="n">
        <f aca="false">Algae_electricity_factor/M147</f>
        <v>0.00144982819611138</v>
      </c>
      <c r="AJ147" s="220" t="n">
        <f aca="false">Algae_electricity_factor/N147</f>
        <v>0.00141151277414596</v>
      </c>
      <c r="AK147" s="220" t="n">
        <f aca="false">Algae_electricity_factor/O147</f>
        <v>0.00135684739057481</v>
      </c>
      <c r="AL147" s="220" t="n">
        <f aca="false">Algae_electricity_factor/P147</f>
        <v>0.00128429870101325</v>
      </c>
      <c r="AM147" s="220" t="n">
        <f aca="false">Algae_electricity_factor/Q147</f>
        <v>0.00119673575052022</v>
      </c>
      <c r="AN147" s="220" t="n">
        <f aca="false">Algae_electricity_factor/R147</f>
        <v>0.00110239036760659</v>
      </c>
      <c r="AO147" s="220" t="n">
        <f aca="false">Algae_electricity_factor/S147</f>
        <v>0.00101239170951294</v>
      </c>
      <c r="AP147" s="220" t="n">
        <f aca="false">Algae_electricity_factor/T147</f>
        <v>0.000935978816273011</v>
      </c>
      <c r="AQ147" s="220" t="n">
        <f aca="false">Algae_electricity_factor/U147</f>
        <v>0.000877259489087455</v>
      </c>
      <c r="AR147" s="220" t="n">
        <f aca="false">Algae_electricity_factor/V147</f>
        <v>0.000835502249926855</v>
      </c>
      <c r="AS147" s="220" t="n">
        <f aca="false">Algae_electricity_factor/W147</f>
        <v>0.000807417015929281</v>
      </c>
      <c r="AT147" s="220" t="n">
        <f aca="false">Algae_electricity_factor/X147</f>
        <v>0.000789228500987614</v>
      </c>
      <c r="AU147" s="220" t="n">
        <f aca="false">Algae_electricity_factor/Y147</f>
        <v>0.000777736191117477</v>
      </c>
      <c r="AV147" s="220" t="n">
        <f aca="false">Algae_electricity_factor/Z147</f>
        <v>0.000770587602950618</v>
      </c>
      <c r="AW147" s="220" t="n">
        <f aca="false">Algae_electricity_factor/AA147</f>
        <v>0.00076618415669064</v>
      </c>
      <c r="AX147" s="220" t="n">
        <f aca="false">Algae_electricity_factor/AB147</f>
        <v>0.000763487981460433</v>
      </c>
      <c r="AY147" s="220" t="n">
        <f aca="false">Algae_electricity_factor/AC147</f>
        <v>0.000761843233730223</v>
      </c>
      <c r="AZ147" s="211" t="n">
        <f aca="false">Algae_yield_cost_factor/H147</f>
        <v>0.0840686853165623</v>
      </c>
      <c r="BA147" s="18" t="n">
        <f aca="false">Algae_yield_cost_factor/I147</f>
        <v>0.0840686853165623</v>
      </c>
      <c r="BB147" s="18" t="n">
        <f aca="false">Algae_yield_cost_factor/J147</f>
        <v>0.0840686853165623</v>
      </c>
      <c r="BC147" s="18" t="n">
        <f aca="false">Algae_yield_cost_factor/K147</f>
        <v>0.0840686853165623</v>
      </c>
      <c r="BD147" s="18" t="n">
        <f aca="false">Algae_yield_cost_factor/L147</f>
        <v>0.0840686853165623</v>
      </c>
      <c r="BE147" s="18" t="n">
        <f aca="false">Algae_yield_cost_factor/M147</f>
        <v>0.0802621812859404</v>
      </c>
      <c r="BF147" s="18" t="n">
        <f aca="false">Algae_yield_cost_factor/N147</f>
        <v>0.0781410476563949</v>
      </c>
      <c r="BG147" s="18" t="n">
        <f aca="false">Algae_yield_cost_factor/O147</f>
        <v>0.0751147836217863</v>
      </c>
      <c r="BH147" s="18" t="n">
        <f aca="false">Algae_yield_cost_factor/P147</f>
        <v>0.0710985035623521</v>
      </c>
      <c r="BI147" s="18" t="n">
        <f aca="false">Algae_yield_cost_factor/Q147</f>
        <v>0.0662510372037495</v>
      </c>
      <c r="BJ147" s="18" t="n">
        <f aca="false">Algae_yield_cost_factor/R147</f>
        <v>0.0610280968255617</v>
      </c>
      <c r="BK147" s="18" t="n">
        <f aca="false">Algae_yield_cost_factor/S147</f>
        <v>0.0560457902110415</v>
      </c>
      <c r="BL147" s="18" t="n">
        <f aca="false">Algae_yield_cost_factor/T147</f>
        <v>0.0518155886559495</v>
      </c>
      <c r="BM147" s="18" t="n">
        <f aca="false">Algae_yield_cost_factor/U147</f>
        <v>0.0485648991630867</v>
      </c>
      <c r="BN147" s="18" t="n">
        <f aca="false">Algae_yield_cost_factor/V147</f>
        <v>0.0462532272639626</v>
      </c>
      <c r="BO147" s="18" t="n">
        <f aca="false">Algae_yield_cost_factor/W147</f>
        <v>0.0446984346694901</v>
      </c>
      <c r="BP147" s="18" t="n">
        <f aca="false">Algae_yield_cost_factor/X147</f>
        <v>0.0436915223418877</v>
      </c>
      <c r="BQ147" s="18" t="n">
        <f aca="false">Algae_yield_cost_factor/Y147</f>
        <v>0.0430553105061232</v>
      </c>
      <c r="BR147" s="18" t="n">
        <f aca="false">Algae_yield_cost_factor/Z147</f>
        <v>0.0426595661821227</v>
      </c>
      <c r="BS147" s="18" t="n">
        <f aca="false">Algae_yield_cost_factor/AA147</f>
        <v>0.0424157923315732</v>
      </c>
      <c r="BT147" s="18" t="n">
        <f aca="false">Algae_yield_cost_factor/AB147</f>
        <v>0.0422665326429522</v>
      </c>
      <c r="BU147" s="18" t="n">
        <f aca="false">Algae_yield_cost_factor/AC147</f>
        <v>0.0421754797576201</v>
      </c>
    </row>
    <row r="148" customFormat="false" ht="15" hidden="false" customHeight="false" outlineLevel="0" collapsed="false">
      <c r="A148" s="18" t="s">
        <v>712</v>
      </c>
      <c r="B148" s="18" t="s">
        <v>22</v>
      </c>
      <c r="C148" s="18" t="s">
        <v>690</v>
      </c>
      <c r="D148" s="18" t="s">
        <v>690</v>
      </c>
      <c r="E148" s="185" t="n">
        <v>7.722</v>
      </c>
      <c r="F148" s="18" t="n">
        <f aca="false">E148/$B$2*$F$3/1000</f>
        <v>0.0189189</v>
      </c>
      <c r="G148" s="18" t="n">
        <f aca="false">LOOKUP(RIGHT(D148,5),Ref!$C$4:$C$21,Ref!$E$4:$E$21)*$G$3</f>
        <v>1.5</v>
      </c>
      <c r="H148" s="222" t="n">
        <f aca="false">$E148</f>
        <v>7.722</v>
      </c>
      <c r="I148" s="185" t="n">
        <f aca="false">$E148</f>
        <v>7.722</v>
      </c>
      <c r="J148" s="185" t="n">
        <f aca="false">$E148</f>
        <v>7.722</v>
      </c>
      <c r="K148" s="185" t="n">
        <f aca="false">$E148</f>
        <v>7.722</v>
      </c>
      <c r="L148" s="185" t="n">
        <f aca="false">$E148</f>
        <v>7.722</v>
      </c>
      <c r="M148" s="185" t="n">
        <f aca="false">M$3*$E148</f>
        <v>8.08822259267717</v>
      </c>
      <c r="N148" s="185" t="n">
        <f aca="false">N$3*$E148</f>
        <v>8.30777686612404</v>
      </c>
      <c r="O148" s="185" t="n">
        <f aca="false">O$3*$E148</f>
        <v>8.64248496385479</v>
      </c>
      <c r="P148" s="185" t="n">
        <f aca="false">P$3*$E148</f>
        <v>9.13068989483269</v>
      </c>
      <c r="Q148" s="185" t="n">
        <f aca="false">Q$3*$E148</f>
        <v>9.7987656558191</v>
      </c>
      <c r="R148" s="185" t="n">
        <f aca="false">R$3*$E148</f>
        <v>10.6373690444593</v>
      </c>
      <c r="S148" s="185" t="n">
        <f aca="false">S$3*$E148</f>
        <v>11.583</v>
      </c>
      <c r="T148" s="185" t="n">
        <f aca="false">T$3*$E148</f>
        <v>12.5286309555407</v>
      </c>
      <c r="U148" s="185" t="n">
        <f aca="false">U$3*$E148</f>
        <v>13.3672343441809</v>
      </c>
      <c r="V148" s="185" t="n">
        <f aca="false">V$3*$E148</f>
        <v>14.0353101051673</v>
      </c>
      <c r="W148" s="185" t="n">
        <f aca="false">W$3*$E148</f>
        <v>14.5235150361452</v>
      </c>
      <c r="X148" s="185" t="n">
        <f aca="false">X$3*$E148</f>
        <v>14.858223133876</v>
      </c>
      <c r="Y148" s="185" t="n">
        <f aca="false">Y$3*$E148</f>
        <v>15.0777774073228</v>
      </c>
      <c r="Z148" s="185" t="n">
        <f aca="false">Z$3*$E148</f>
        <v>15.217650954138</v>
      </c>
      <c r="AA148" s="185" t="n">
        <f aca="false">AA$3*$E148</f>
        <v>15.3051104866727</v>
      </c>
      <c r="AB148" s="185" t="n">
        <f aca="false">AB$3*$E148</f>
        <v>15.3591588290066</v>
      </c>
      <c r="AC148" s="185" t="n">
        <f aca="false">AC$3*$E148</f>
        <v>15.3923178051627</v>
      </c>
      <c r="AD148" s="219" t="n">
        <f aca="false">Algae_electricity_factor/H148</f>
        <v>0.00177979760470464</v>
      </c>
      <c r="AE148" s="220" t="n">
        <f aca="false">Algae_electricity_factor/I148</f>
        <v>0.00177979760470464</v>
      </c>
      <c r="AF148" s="220" t="n">
        <f aca="false">Algae_electricity_factor/J148</f>
        <v>0.00177979760470464</v>
      </c>
      <c r="AG148" s="220" t="n">
        <f aca="false">Algae_electricity_factor/K148</f>
        <v>0.00177979760470464</v>
      </c>
      <c r="AH148" s="220" t="n">
        <f aca="false">Algae_electricity_factor/L148</f>
        <v>0.00177979760470464</v>
      </c>
      <c r="AI148" s="220" t="n">
        <f aca="false">Algae_electricity_factor/M148</f>
        <v>0.00169921103753652</v>
      </c>
      <c r="AJ148" s="220" t="n">
        <f aca="false">Algae_electricity_factor/N148</f>
        <v>0.00165430503551081</v>
      </c>
      <c r="AK148" s="220" t="n">
        <f aca="false">Algae_electricity_factor/O148</f>
        <v>0.00159023673873992</v>
      </c>
      <c r="AL148" s="220" t="n">
        <f aca="false">Algae_electricity_factor/P148</f>
        <v>0.0015052090544995</v>
      </c>
      <c r="AM148" s="220" t="n">
        <f aca="false">Algae_electricity_factor/Q148</f>
        <v>0.00140258452812038</v>
      </c>
      <c r="AN148" s="220" t="n">
        <f aca="false">Algae_electricity_factor/R148</f>
        <v>0.00129201093297482</v>
      </c>
      <c r="AO148" s="220" t="n">
        <f aca="false">Algae_electricity_factor/S148</f>
        <v>0.00118653173646976</v>
      </c>
      <c r="AP148" s="220" t="n">
        <f aca="false">Algae_electricity_factor/T148</f>
        <v>0.00109697517249091</v>
      </c>
      <c r="AQ148" s="220" t="n">
        <f aca="false">Algae_electricity_factor/U148</f>
        <v>0.00102815561915485</v>
      </c>
      <c r="AR148" s="220" t="n">
        <f aca="false">Algae_electricity_factor/V148</f>
        <v>0.000979215777959145</v>
      </c>
      <c r="AS148" s="220" t="n">
        <f aca="false">Algae_electricity_factor/W148</f>
        <v>0.000946299643669254</v>
      </c>
      <c r="AT148" s="220" t="n">
        <f aca="false">Algae_electricity_factor/X148</f>
        <v>0.000924982548700227</v>
      </c>
      <c r="AU148" s="220" t="n">
        <f aca="false">Algae_electricity_factor/Y148</f>
        <v>0.000911513463307556</v>
      </c>
      <c r="AV148" s="220" t="n">
        <f aca="false">Algae_electricity_factor/Z148</f>
        <v>0.000903135256876953</v>
      </c>
      <c r="AW148" s="220" t="n">
        <f aca="false">Algae_electricity_factor/AA148</f>
        <v>0.000897974380223966</v>
      </c>
      <c r="AX148" s="220" t="n">
        <f aca="false">Algae_electricity_factor/AB148</f>
        <v>0.000894814439809931</v>
      </c>
      <c r="AY148" s="220" t="n">
        <f aca="false">Algae_electricity_factor/AC148</f>
        <v>0.000892886781412451</v>
      </c>
      <c r="AZ148" s="211" t="n">
        <f aca="false">Algae_yield_cost_factor/H148</f>
        <v>0.0985292177267829</v>
      </c>
      <c r="BA148" s="18" t="n">
        <f aca="false">Algae_yield_cost_factor/I148</f>
        <v>0.0985292177267829</v>
      </c>
      <c r="BB148" s="18" t="n">
        <f aca="false">Algae_yield_cost_factor/J148</f>
        <v>0.0985292177267829</v>
      </c>
      <c r="BC148" s="18" t="n">
        <f aca="false">Algae_yield_cost_factor/K148</f>
        <v>0.0985292177267829</v>
      </c>
      <c r="BD148" s="18" t="n">
        <f aca="false">Algae_yield_cost_factor/L148</f>
        <v>0.0985292177267829</v>
      </c>
      <c r="BE148" s="18" t="n">
        <f aca="false">Algae_yield_cost_factor/M148</f>
        <v>0.0940679624686716</v>
      </c>
      <c r="BF148" s="18" t="n">
        <f aca="false">Algae_yield_cost_factor/N148</f>
        <v>0.091581975725497</v>
      </c>
      <c r="BG148" s="18" t="n">
        <f aca="false">Algae_yield_cost_factor/O148</f>
        <v>0.0880351684114311</v>
      </c>
      <c r="BH148" s="18" t="n">
        <f aca="false">Algae_yield_cost_factor/P148</f>
        <v>0.0833280538545943</v>
      </c>
      <c r="BI148" s="18" t="n">
        <f aca="false">Algae_yield_cost_factor/Q148</f>
        <v>0.0776467818509756</v>
      </c>
      <c r="BJ148" s="18" t="n">
        <f aca="false">Algae_yield_cost_factor/R148</f>
        <v>0.0715254510872235</v>
      </c>
      <c r="BK148" s="18" t="n">
        <f aca="false">Algae_yield_cost_factor/S148</f>
        <v>0.0656861451511886</v>
      </c>
      <c r="BL148" s="18" t="n">
        <f aca="false">Algae_yield_cost_factor/T148</f>
        <v>0.060728312773052</v>
      </c>
      <c r="BM148" s="18" t="n">
        <f aca="false">Algae_yield_cost_factor/U148</f>
        <v>0.0569184769037458</v>
      </c>
      <c r="BN148" s="18" t="n">
        <f aca="false">Algae_yield_cost_factor/V148</f>
        <v>0.0542091776800929</v>
      </c>
      <c r="BO148" s="18" t="n">
        <f aca="false">Algae_yield_cost_factor/W148</f>
        <v>0.0523869474705456</v>
      </c>
      <c r="BP148" s="18" t="n">
        <f aca="false">Algae_yield_cost_factor/X148</f>
        <v>0.0512068376165073</v>
      </c>
      <c r="BQ148" s="18" t="n">
        <f aca="false">Algae_yield_cost_factor/Y148</f>
        <v>0.0504611919072833</v>
      </c>
      <c r="BR148" s="18" t="n">
        <f aca="false">Algae_yield_cost_factor/Z148</f>
        <v>0.0499973761771246</v>
      </c>
      <c r="BS148" s="18" t="n">
        <f aca="false">Algae_yield_cost_factor/AA148</f>
        <v>0.0497116711407434</v>
      </c>
      <c r="BT148" s="18" t="n">
        <f aca="false">Algae_yield_cost_factor/AB148</f>
        <v>0.0495367375099558</v>
      </c>
      <c r="BU148" s="18" t="n">
        <f aca="false">Algae_yield_cost_factor/AC148</f>
        <v>0.0494300227501167</v>
      </c>
    </row>
    <row r="149" customFormat="false" ht="15" hidden="false" customHeight="false" outlineLevel="0" collapsed="false">
      <c r="A149" s="18" t="s">
        <v>712</v>
      </c>
      <c r="B149" s="18" t="s">
        <v>22</v>
      </c>
      <c r="C149" s="18" t="s">
        <v>691</v>
      </c>
      <c r="D149" s="18" t="s">
        <v>691</v>
      </c>
      <c r="E149" s="185" t="n">
        <v>8.37375</v>
      </c>
      <c r="F149" s="18" t="n">
        <f aca="false">E149/$B$2*$F$3/1000</f>
        <v>0.0205156875</v>
      </c>
      <c r="G149" s="18" t="n">
        <f aca="false">LOOKUP(RIGHT(D149,5),Ref!$C$4:$C$21,Ref!$E$4:$E$21)*$G$3</f>
        <v>2</v>
      </c>
      <c r="H149" s="222" t="n">
        <f aca="false">$E149</f>
        <v>8.37375</v>
      </c>
      <c r="I149" s="185" t="n">
        <f aca="false">$E149</f>
        <v>8.37375</v>
      </c>
      <c r="J149" s="185" t="n">
        <f aca="false">$E149</f>
        <v>8.37375</v>
      </c>
      <c r="K149" s="185" t="n">
        <f aca="false">$E149</f>
        <v>8.37375</v>
      </c>
      <c r="L149" s="185" t="n">
        <f aca="false">$E149</f>
        <v>8.37375</v>
      </c>
      <c r="M149" s="185" t="n">
        <f aca="false">M$3*$E149</f>
        <v>8.77088240552065</v>
      </c>
      <c r="N149" s="185" t="n">
        <f aca="false">N$3*$E149</f>
        <v>9.00896743495289</v>
      </c>
      <c r="O149" s="185" t="n">
        <f aca="false">O$3*$E149</f>
        <v>9.37192546828271</v>
      </c>
      <c r="P149" s="185" t="n">
        <f aca="false">P$3*$E149</f>
        <v>9.90133572997348</v>
      </c>
      <c r="Q149" s="185" t="n">
        <f aca="false">Q$3*$E149</f>
        <v>10.625798227197</v>
      </c>
      <c r="R149" s="185" t="n">
        <f aca="false">R$3*$E149</f>
        <v>11.5351811753485</v>
      </c>
      <c r="S149" s="185" t="n">
        <f aca="false">S$3*$E149</f>
        <v>12.560625</v>
      </c>
      <c r="T149" s="185" t="n">
        <f aca="false">T$3*$E149</f>
        <v>13.5860688246515</v>
      </c>
      <c r="U149" s="185" t="n">
        <f aca="false">U$3*$E149</f>
        <v>14.495451772803</v>
      </c>
      <c r="V149" s="185" t="n">
        <f aca="false">V$3*$E149</f>
        <v>15.2199142700265</v>
      </c>
      <c r="W149" s="185" t="n">
        <f aca="false">W$3*$E149</f>
        <v>15.7493245317173</v>
      </c>
      <c r="X149" s="185" t="n">
        <f aca="false">X$3*$E149</f>
        <v>16.1122825650471</v>
      </c>
      <c r="Y149" s="185" t="n">
        <f aca="false">Y$3*$E149</f>
        <v>16.3503675944793</v>
      </c>
      <c r="Z149" s="185" t="n">
        <f aca="false">Z$3*$E149</f>
        <v>16.5020467077458</v>
      </c>
      <c r="AA149" s="185" t="n">
        <f aca="false">AA$3*$E149</f>
        <v>16.5968879743299</v>
      </c>
      <c r="AB149" s="185" t="n">
        <f aca="false">AB$3*$E149</f>
        <v>16.6554980891471</v>
      </c>
      <c r="AC149" s="185" t="n">
        <f aca="false">AC$3*$E149</f>
        <v>16.6914557395728</v>
      </c>
      <c r="AD149" s="219" t="n">
        <f aca="false">Algae_electricity_factor/H149</f>
        <v>0.00164127148571778</v>
      </c>
      <c r="AE149" s="220" t="n">
        <f aca="false">Algae_electricity_factor/I149</f>
        <v>0.00164127148571778</v>
      </c>
      <c r="AF149" s="220" t="n">
        <f aca="false">Algae_electricity_factor/J149</f>
        <v>0.00164127148571778</v>
      </c>
      <c r="AG149" s="220" t="n">
        <f aca="false">Algae_electricity_factor/K149</f>
        <v>0.00164127148571778</v>
      </c>
      <c r="AH149" s="220" t="n">
        <f aca="false">Algae_electricity_factor/L149</f>
        <v>0.00164127148571778</v>
      </c>
      <c r="AI149" s="220" t="n">
        <f aca="false">Algae_electricity_factor/M149</f>
        <v>0.00156695717353121</v>
      </c>
      <c r="AJ149" s="220" t="n">
        <f aca="false">Algae_electricity_factor/N149</f>
        <v>0.0015255463184612</v>
      </c>
      <c r="AK149" s="220" t="n">
        <f aca="false">Algae_electricity_factor/O149</f>
        <v>0.00146646461818775</v>
      </c>
      <c r="AL149" s="220" t="n">
        <f aca="false">Algae_electricity_factor/P149</f>
        <v>0.00138805485222811</v>
      </c>
      <c r="AM149" s="220" t="n">
        <f aca="false">Algae_electricity_factor/Q149</f>
        <v>0.00129341785056225</v>
      </c>
      <c r="AN149" s="220" t="n">
        <f aca="false">Algae_electricity_factor/R149</f>
        <v>0.00119145047612259</v>
      </c>
      <c r="AO149" s="220" t="n">
        <f aca="false">Algae_electricity_factor/S149</f>
        <v>0.00109418099047852</v>
      </c>
      <c r="AP149" s="220" t="n">
        <f aca="false">Algae_electricity_factor/T149</f>
        <v>0.00101159483886847</v>
      </c>
      <c r="AQ149" s="220" t="n">
        <f aca="false">Algae_electricity_factor/U149</f>
        <v>0.000948131684264963</v>
      </c>
      <c r="AR149" s="220" t="n">
        <f aca="false">Algae_electricity_factor/V149</f>
        <v>0.000903000953861832</v>
      </c>
      <c r="AS149" s="220" t="n">
        <f aca="false">Algae_electricity_factor/W149</f>
        <v>0.00087264676499943</v>
      </c>
      <c r="AT149" s="220" t="n">
        <f aca="false">Algae_electricity_factor/X149</f>
        <v>0.000852988833087106</v>
      </c>
      <c r="AU149" s="220" t="n">
        <f aca="false">Algae_electricity_factor/Y149</f>
        <v>0.000840568080449136</v>
      </c>
      <c r="AV149" s="220" t="n">
        <f aca="false">Algae_electricity_factor/Z149</f>
        <v>0.000832841970873722</v>
      </c>
      <c r="AW149" s="220" t="n">
        <f aca="false">Algae_electricity_factor/AA149</f>
        <v>0.000828082778216386</v>
      </c>
      <c r="AX149" s="220" t="n">
        <f aca="false">Algae_electricity_factor/AB149</f>
        <v>0.000825168783903542</v>
      </c>
      <c r="AY149" s="220" t="n">
        <f aca="false">Algae_electricity_factor/AC149</f>
        <v>0.000823391160002024</v>
      </c>
      <c r="AZ149" s="211" t="n">
        <f aca="false">Algae_yield_cost_factor/H149</f>
        <v>0.0908604411746491</v>
      </c>
      <c r="BA149" s="18" t="n">
        <f aca="false">Algae_yield_cost_factor/I149</f>
        <v>0.0908604411746491</v>
      </c>
      <c r="BB149" s="18" t="n">
        <f aca="false">Algae_yield_cost_factor/J149</f>
        <v>0.0908604411746491</v>
      </c>
      <c r="BC149" s="18" t="n">
        <f aca="false">Algae_yield_cost_factor/K149</f>
        <v>0.0908604411746491</v>
      </c>
      <c r="BD149" s="18" t="n">
        <f aca="false">Algae_yield_cost_factor/L149</f>
        <v>0.0908604411746491</v>
      </c>
      <c r="BE149" s="18" t="n">
        <f aca="false">Algae_yield_cost_factor/M149</f>
        <v>0.0867464166213563</v>
      </c>
      <c r="BF149" s="18" t="n">
        <f aca="false">Algae_yield_cost_factor/N149</f>
        <v>0.0844539204719854</v>
      </c>
      <c r="BG149" s="18" t="n">
        <f aca="false">Algae_yield_cost_factor/O149</f>
        <v>0.0811831700818715</v>
      </c>
      <c r="BH149" s="18" t="n">
        <f aca="false">Algae_yield_cost_factor/P149</f>
        <v>0.076842422076749</v>
      </c>
      <c r="BI149" s="18" t="n">
        <f aca="false">Algae_yield_cost_factor/Q149</f>
        <v>0.0716033377463184</v>
      </c>
      <c r="BJ149" s="18" t="n">
        <f aca="false">Algae_yield_cost_factor/R149</f>
        <v>0.0659584455346219</v>
      </c>
      <c r="BK149" s="18" t="n">
        <f aca="false">Algae_yield_cost_factor/S149</f>
        <v>0.0605736274497661</v>
      </c>
      <c r="BL149" s="18" t="n">
        <f aca="false">Algae_yield_cost_factor/T149</f>
        <v>0.0560016756212578</v>
      </c>
      <c r="BM149" s="18" t="n">
        <f aca="false">Algae_yield_cost_factor/U149</f>
        <v>0.0524883688491685</v>
      </c>
      <c r="BN149" s="18" t="n">
        <f aca="false">Algae_yield_cost_factor/V149</f>
        <v>0.0499899411907063</v>
      </c>
      <c r="BO149" s="18" t="n">
        <f aca="false">Algae_yield_cost_factor/W149</f>
        <v>0.0483095397363849</v>
      </c>
      <c r="BP149" s="18" t="n">
        <f aca="false">Algae_yield_cost_factor/X149</f>
        <v>0.0472212807970944</v>
      </c>
      <c r="BQ149" s="18" t="n">
        <f aca="false">Algae_yield_cost_factor/Y149</f>
        <v>0.0465336705667164</v>
      </c>
      <c r="BR149" s="18" t="n">
        <f aca="false">Algae_yield_cost_factor/Z149</f>
        <v>0.0461059547800873</v>
      </c>
      <c r="BS149" s="18" t="n">
        <f aca="false">Algae_yield_cost_factor/AA149</f>
        <v>0.0458424868844688</v>
      </c>
      <c r="BT149" s="18" t="n">
        <f aca="false">Algae_yield_cost_factor/AB149</f>
        <v>0.0456811687776538</v>
      </c>
      <c r="BU149" s="18" t="n">
        <f aca="false">Algae_yield_cost_factor/AC149</f>
        <v>0.0455827598956742</v>
      </c>
    </row>
    <row r="150" customFormat="false" ht="15" hidden="false" customHeight="false" outlineLevel="0" collapsed="false">
      <c r="A150" s="18" t="s">
        <v>712</v>
      </c>
      <c r="B150" s="18" t="s">
        <v>22</v>
      </c>
      <c r="C150" s="18" t="s">
        <v>692</v>
      </c>
      <c r="D150" s="18" t="s">
        <v>692</v>
      </c>
      <c r="E150" s="185" t="n">
        <v>7.56525</v>
      </c>
      <c r="F150" s="18" t="n">
        <f aca="false">E150/$B$2*$F$3/1000</f>
        <v>0.0185348625</v>
      </c>
      <c r="G150" s="18" t="n">
        <f aca="false">LOOKUP(RIGHT(D150,5),Ref!$C$4:$C$21,Ref!$E$4:$E$21)*$G$3</f>
        <v>2.5</v>
      </c>
      <c r="H150" s="222" t="n">
        <f aca="false">$E150</f>
        <v>7.56525</v>
      </c>
      <c r="I150" s="185" t="n">
        <f aca="false">$E150</f>
        <v>7.56525</v>
      </c>
      <c r="J150" s="185" t="n">
        <f aca="false">$E150</f>
        <v>7.56525</v>
      </c>
      <c r="K150" s="185" t="n">
        <f aca="false">$E150</f>
        <v>7.56525</v>
      </c>
      <c r="L150" s="185" t="n">
        <f aca="false">$E150</f>
        <v>7.56525</v>
      </c>
      <c r="M150" s="185" t="n">
        <f aca="false">M$3*$E150</f>
        <v>7.92403858705659</v>
      </c>
      <c r="N150" s="185" t="n">
        <f aca="false">N$3*$E150</f>
        <v>8.13913609640571</v>
      </c>
      <c r="O150" s="185" t="n">
        <f aca="false">O$3*$E150</f>
        <v>8.46704990582783</v>
      </c>
      <c r="P150" s="185" t="n">
        <f aca="false">P$3*$E150</f>
        <v>8.94534469397604</v>
      </c>
      <c r="Q150" s="185" t="n">
        <f aca="false">Q$3*$E150</f>
        <v>9.59985908801936</v>
      </c>
      <c r="R150" s="185" t="n">
        <f aca="false">R$3*$E150</f>
        <v>10.4214395446252</v>
      </c>
      <c r="S150" s="185" t="n">
        <f aca="false">S$3*$E150</f>
        <v>11.347875</v>
      </c>
      <c r="T150" s="185" t="n">
        <f aca="false">T$3*$E150</f>
        <v>12.2743104553748</v>
      </c>
      <c r="U150" s="185" t="n">
        <f aca="false">U$3*$E150</f>
        <v>13.0958909119806</v>
      </c>
      <c r="V150" s="185" t="n">
        <f aca="false">V$3*$E150</f>
        <v>13.750405306024</v>
      </c>
      <c r="W150" s="185" t="n">
        <f aca="false">W$3*$E150</f>
        <v>14.2287000941722</v>
      </c>
      <c r="X150" s="185" t="n">
        <f aca="false">X$3*$E150</f>
        <v>14.5566139035943</v>
      </c>
      <c r="Y150" s="185" t="n">
        <f aca="false">Y$3*$E150</f>
        <v>14.7717114129434</v>
      </c>
      <c r="Z150" s="185" t="n">
        <f aca="false">Z$3*$E150</f>
        <v>14.9087456463083</v>
      </c>
      <c r="AA150" s="185" t="n">
        <f aca="false">AA$3*$E150</f>
        <v>14.9944298250843</v>
      </c>
      <c r="AB150" s="185" t="n">
        <f aca="false">AB$3*$E150</f>
        <v>15.0473810322639</v>
      </c>
      <c r="AC150" s="185" t="n">
        <f aca="false">AC$3*$E150</f>
        <v>15.0798669095451</v>
      </c>
      <c r="AD150" s="219" t="n">
        <f aca="false">Algae_electricity_factor/H150</f>
        <v>0.00181667454526014</v>
      </c>
      <c r="AE150" s="220" t="n">
        <f aca="false">Algae_electricity_factor/I150</f>
        <v>0.00181667454526014</v>
      </c>
      <c r="AF150" s="220" t="n">
        <f aca="false">Algae_electricity_factor/J150</f>
        <v>0.00181667454526014</v>
      </c>
      <c r="AG150" s="220" t="n">
        <f aca="false">Algae_electricity_factor/K150</f>
        <v>0.00181667454526014</v>
      </c>
      <c r="AH150" s="220" t="n">
        <f aca="false">Algae_electricity_factor/L150</f>
        <v>0.00181667454526014</v>
      </c>
      <c r="AI150" s="220" t="n">
        <f aca="false">Algae_electricity_factor/M150</f>
        <v>0.00173441824551164</v>
      </c>
      <c r="AJ150" s="220" t="n">
        <f aca="false">Algae_electricity_factor/N150</f>
        <v>0.00168858180287691</v>
      </c>
      <c r="AK150" s="220" t="n">
        <f aca="false">Algae_electricity_factor/O150</f>
        <v>0.00162318602776507</v>
      </c>
      <c r="AL150" s="220" t="n">
        <f aca="false">Algae_electricity_factor/P150</f>
        <v>0.00153639659216089</v>
      </c>
      <c r="AM150" s="220" t="n">
        <f aca="false">Algae_electricity_factor/Q150</f>
        <v>0.00143164571245439</v>
      </c>
      <c r="AN150" s="220" t="n">
        <f aca="false">Algae_electricity_factor/R150</f>
        <v>0.00131878106135706</v>
      </c>
      <c r="AO150" s="220" t="n">
        <f aca="false">Algae_electricity_factor/S150</f>
        <v>0.00121111636350676</v>
      </c>
      <c r="AP150" s="220" t="n">
        <f aca="false">Algae_electricity_factor/T150</f>
        <v>0.00111970421096128</v>
      </c>
      <c r="AQ150" s="220" t="n">
        <f aca="false">Algae_electricity_factor/U150</f>
        <v>0.00104945873449175</v>
      </c>
      <c r="AR150" s="220" t="n">
        <f aca="false">Algae_electricity_factor/V150</f>
        <v>0.000999504872595157</v>
      </c>
      <c r="AS150" s="220" t="n">
        <f aca="false">Algae_electricity_factor/W150</f>
        <v>0.00096590672461769</v>
      </c>
      <c r="AT150" s="220" t="n">
        <f aca="false">Algae_electricity_factor/X150</f>
        <v>0.000944147945020079</v>
      </c>
      <c r="AU150" s="220" t="n">
        <f aca="false">Algae_electricity_factor/Y150</f>
        <v>0.000930399783703242</v>
      </c>
      <c r="AV150" s="220" t="n">
        <f aca="false">Algae_electricity_factor/Z150</f>
        <v>0.000921847983028166</v>
      </c>
      <c r="AW150" s="220" t="n">
        <f aca="false">Algae_electricity_factor/AA150</f>
        <v>0.000916580174361648</v>
      </c>
      <c r="AX150" s="220" t="n">
        <f aca="false">Algae_electricity_factor/AB150</f>
        <v>0.000913354760809264</v>
      </c>
      <c r="AY150" s="220" t="n">
        <f aca="false">Algae_electricity_factor/AC150</f>
        <v>0.000911387161834301</v>
      </c>
      <c r="AZ150" s="211" t="n">
        <f aca="false">Algae_yield_cost_factor/H150</f>
        <v>0.100570717330718</v>
      </c>
      <c r="BA150" s="18" t="n">
        <f aca="false">Algae_yield_cost_factor/I150</f>
        <v>0.100570717330718</v>
      </c>
      <c r="BB150" s="18" t="n">
        <f aca="false">Algae_yield_cost_factor/J150</f>
        <v>0.100570717330718</v>
      </c>
      <c r="BC150" s="18" t="n">
        <f aca="false">Algae_yield_cost_factor/K150</f>
        <v>0.100570717330718</v>
      </c>
      <c r="BD150" s="18" t="n">
        <f aca="false">Algae_yield_cost_factor/L150</f>
        <v>0.100570717330718</v>
      </c>
      <c r="BE150" s="18" t="n">
        <f aca="false">Algae_yield_cost_factor/M150</f>
        <v>0.0960170260312722</v>
      </c>
      <c r="BF150" s="18" t="n">
        <f aca="false">Algae_yield_cost_factor/N150</f>
        <v>0.093479530293419</v>
      </c>
      <c r="BG150" s="18" t="n">
        <f aca="false">Algae_yield_cost_factor/O150</f>
        <v>0.0898592340600867</v>
      </c>
      <c r="BH150" s="18" t="n">
        <f aca="false">Algae_yield_cost_factor/P150</f>
        <v>0.0850545893215924</v>
      </c>
      <c r="BI150" s="18" t="n">
        <f aca="false">Algae_yield_cost_factor/Q150</f>
        <v>0.0792556028489784</v>
      </c>
      <c r="BJ150" s="18" t="n">
        <f aca="false">Algae_yield_cost_factor/R150</f>
        <v>0.0730074397138945</v>
      </c>
      <c r="BK150" s="18" t="n">
        <f aca="false">Algae_yield_cost_factor/S150</f>
        <v>0.0670471448871456</v>
      </c>
      <c r="BL150" s="18" t="n">
        <f aca="false">Algae_yield_cost_factor/T150</f>
        <v>0.0619865875197128</v>
      </c>
      <c r="BM150" s="18" t="n">
        <f aca="false">Algae_yield_cost_factor/U150</f>
        <v>0.0580978128483163</v>
      </c>
      <c r="BN150" s="18" t="n">
        <f aca="false">Algae_yield_cost_factor/V150</f>
        <v>0.0553323776538352</v>
      </c>
      <c r="BO150" s="18" t="n">
        <f aca="false">Algae_yield_cost_factor/W150</f>
        <v>0.0534723913112657</v>
      </c>
      <c r="BP150" s="18" t="n">
        <f aca="false">Algae_yield_cost_factor/X150</f>
        <v>0.0522678298899136</v>
      </c>
      <c r="BQ150" s="18" t="n">
        <f aca="false">Algae_yield_cost_factor/Y150</f>
        <v>0.0515067345967472</v>
      </c>
      <c r="BR150" s="18" t="n">
        <f aca="false">Algae_yield_cost_factor/Z150</f>
        <v>0.0510333087260508</v>
      </c>
      <c r="BS150" s="18" t="n">
        <f aca="false">Algae_yield_cost_factor/AA150</f>
        <v>0.0507416839560914</v>
      </c>
      <c r="BT150" s="18" t="n">
        <f aca="false">Algae_yield_cost_factor/AB150</f>
        <v>0.050563125746258</v>
      </c>
      <c r="BU150" s="18" t="n">
        <f aca="false">Algae_yield_cost_factor/AC150</f>
        <v>0.0504541998845248</v>
      </c>
    </row>
    <row r="151" customFormat="false" ht="15" hidden="false" customHeight="false" outlineLevel="0" collapsed="false">
      <c r="A151" s="18" t="s">
        <v>712</v>
      </c>
      <c r="B151" s="18" t="s">
        <v>22</v>
      </c>
      <c r="C151" s="18" t="s">
        <v>683</v>
      </c>
      <c r="D151" s="18" t="s">
        <v>683</v>
      </c>
      <c r="E151" s="185" t="n">
        <v>7.81275</v>
      </c>
      <c r="F151" s="18" t="n">
        <f aca="false">E151/$B$2*$F$3/1000</f>
        <v>0.0191412375</v>
      </c>
      <c r="G151" s="18" t="n">
        <f aca="false">LOOKUP(RIGHT(D151,5),Ref!$C$4:$C$21,Ref!$E$4:$E$21)*$G$3</f>
        <v>3</v>
      </c>
      <c r="H151" s="222" t="n">
        <f aca="false">$E151</f>
        <v>7.81275</v>
      </c>
      <c r="I151" s="185" t="n">
        <f aca="false">$E151</f>
        <v>7.81275</v>
      </c>
      <c r="J151" s="185" t="n">
        <f aca="false">$E151</f>
        <v>7.81275</v>
      </c>
      <c r="K151" s="185" t="n">
        <f aca="false">$E151</f>
        <v>7.81275</v>
      </c>
      <c r="L151" s="185" t="n">
        <f aca="false">$E151</f>
        <v>7.81275</v>
      </c>
      <c r="M151" s="185" t="n">
        <f aca="false">M$3*$E151</f>
        <v>8.18327649066803</v>
      </c>
      <c r="N151" s="185" t="n">
        <f aca="false">N$3*$E151</f>
        <v>8.40541099596097</v>
      </c>
      <c r="O151" s="185" t="n">
        <f aca="false">O$3*$E151</f>
        <v>8.7440526290283</v>
      </c>
      <c r="P151" s="185" t="n">
        <f aca="false">P$3*$E151</f>
        <v>9.23799501111811</v>
      </c>
      <c r="Q151" s="185" t="n">
        <f aca="false">Q$3*$E151</f>
        <v>9.91392208980843</v>
      </c>
      <c r="R151" s="185" t="n">
        <f aca="false">R$3*$E151</f>
        <v>10.7623808601527</v>
      </c>
      <c r="S151" s="185" t="n">
        <f aca="false">S$3*$E151</f>
        <v>11.719125</v>
      </c>
      <c r="T151" s="185" t="n">
        <f aca="false">T$3*$E151</f>
        <v>12.6758691398473</v>
      </c>
      <c r="U151" s="185" t="n">
        <f aca="false">U$3*$E151</f>
        <v>13.5243279101916</v>
      </c>
      <c r="V151" s="185" t="n">
        <f aca="false">V$3*$E151</f>
        <v>14.2002549888819</v>
      </c>
      <c r="W151" s="185" t="n">
        <f aca="false">W$3*$E151</f>
        <v>14.6941973709717</v>
      </c>
      <c r="X151" s="185" t="n">
        <f aca="false">X$3*$E151</f>
        <v>15.032839004039</v>
      </c>
      <c r="Y151" s="185" t="n">
        <f aca="false">Y$3*$E151</f>
        <v>15.254973509332</v>
      </c>
      <c r="Z151" s="185" t="n">
        <f aca="false">Z$3*$E151</f>
        <v>15.3964908691973</v>
      </c>
      <c r="AA151" s="185" t="n">
        <f aca="false">AA$3*$E151</f>
        <v>15.4849782381187</v>
      </c>
      <c r="AB151" s="185" t="n">
        <f aca="false">AB$3*$E151</f>
        <v>15.5396617639628</v>
      </c>
      <c r="AC151" s="185" t="n">
        <f aca="false">AC$3*$E151</f>
        <v>15.5732104289413</v>
      </c>
      <c r="AD151" s="219" t="n">
        <f aca="false">Algae_electricity_factor/H151</f>
        <v>0.00175912413727935</v>
      </c>
      <c r="AE151" s="220" t="n">
        <f aca="false">Algae_electricity_factor/I151</f>
        <v>0.00175912413727935</v>
      </c>
      <c r="AF151" s="220" t="n">
        <f aca="false">Algae_electricity_factor/J151</f>
        <v>0.00175912413727935</v>
      </c>
      <c r="AG151" s="220" t="n">
        <f aca="false">Algae_electricity_factor/K151</f>
        <v>0.00175912413727935</v>
      </c>
      <c r="AH151" s="220" t="n">
        <f aca="false">Algae_electricity_factor/L151</f>
        <v>0.00175912413727935</v>
      </c>
      <c r="AI151" s="220" t="n">
        <f aca="false">Algae_electricity_factor/M151</f>
        <v>0.00167947363372141</v>
      </c>
      <c r="AJ151" s="220" t="n">
        <f aca="false">Algae_electricity_factor/N151</f>
        <v>0.00163508924312368</v>
      </c>
      <c r="AK151" s="220" t="n">
        <f aca="false">Algae_electricity_factor/O151</f>
        <v>0.00157176513987388</v>
      </c>
      <c r="AL151" s="220" t="n">
        <f aca="false">Algae_electricity_factor/P151</f>
        <v>0.0014877251056088</v>
      </c>
      <c r="AM151" s="220" t="n">
        <f aca="false">Algae_electricity_factor/Q151</f>
        <v>0.00138629262758256</v>
      </c>
      <c r="AN151" s="220" t="n">
        <f aca="false">Algae_electricity_factor/R151</f>
        <v>0.00127700341421798</v>
      </c>
      <c r="AO151" s="220" t="n">
        <f aca="false">Algae_electricity_factor/S151</f>
        <v>0.0011727494248529</v>
      </c>
      <c r="AP151" s="220" t="n">
        <f aca="false">Algae_electricity_factor/T151</f>
        <v>0.00108423311663305</v>
      </c>
      <c r="AQ151" s="220" t="n">
        <f aca="false">Algae_electricity_factor/U151</f>
        <v>0.0010162129456483</v>
      </c>
      <c r="AR151" s="220" t="n">
        <f aca="false">Algae_electricity_factor/V151</f>
        <v>0.000967841571456979</v>
      </c>
      <c r="AS151" s="220" t="n">
        <f aca="false">Algae_electricity_factor/W151</f>
        <v>0.000935307778748069</v>
      </c>
      <c r="AT151" s="220" t="n">
        <f aca="false">Algae_electricity_factor/X151</f>
        <v>0.000914238295230636</v>
      </c>
      <c r="AU151" s="220" t="n">
        <f aca="false">Algae_electricity_factor/Y151</f>
        <v>0.000900925661727426</v>
      </c>
      <c r="AV151" s="220" t="n">
        <f aca="false">Algae_electricity_factor/Z151</f>
        <v>0.000892644773428541</v>
      </c>
      <c r="AW151" s="220" t="n">
        <f aca="false">Algae_electricity_factor/AA151</f>
        <v>0.000887543843600456</v>
      </c>
      <c r="AX151" s="220" t="n">
        <f aca="false">Algae_electricity_factor/AB151</f>
        <v>0.000884420607879721</v>
      </c>
      <c r="AY151" s="220" t="n">
        <f aca="false">Algae_electricity_factor/AC151</f>
        <v>0.000882515340445675</v>
      </c>
      <c r="AZ151" s="211" t="n">
        <f aca="false">Algae_yield_cost_factor/H151</f>
        <v>0.0973847389569893</v>
      </c>
      <c r="BA151" s="18" t="n">
        <f aca="false">Algae_yield_cost_factor/I151</f>
        <v>0.0973847389569893</v>
      </c>
      <c r="BB151" s="18" t="n">
        <f aca="false">Algae_yield_cost_factor/J151</f>
        <v>0.0973847389569893</v>
      </c>
      <c r="BC151" s="18" t="n">
        <f aca="false">Algae_yield_cost_factor/K151</f>
        <v>0.0973847389569893</v>
      </c>
      <c r="BD151" s="18" t="n">
        <f aca="false">Algae_yield_cost_factor/L151</f>
        <v>0.0973847389569893</v>
      </c>
      <c r="BE151" s="18" t="n">
        <f aca="false">Algae_yield_cost_factor/M151</f>
        <v>0.0929753039817071</v>
      </c>
      <c r="BF151" s="18" t="n">
        <f aca="false">Algae_yield_cost_factor/N151</f>
        <v>0.0905181935364997</v>
      </c>
      <c r="BG151" s="18" t="n">
        <f aca="false">Algae_yield_cost_factor/O151</f>
        <v>0.0870125846178453</v>
      </c>
      <c r="BH151" s="18" t="n">
        <f aca="false">Algae_yield_cost_factor/P151</f>
        <v>0.0823601461540657</v>
      </c>
      <c r="BI151" s="18" t="n">
        <f aca="false">Algae_yield_cost_factor/Q151</f>
        <v>0.0767448656943117</v>
      </c>
      <c r="BJ151" s="18" t="n">
        <f aca="false">Algae_yield_cost_factor/R151</f>
        <v>0.0706946380334121</v>
      </c>
      <c r="BK151" s="18" t="n">
        <f aca="false">Algae_yield_cost_factor/S151</f>
        <v>0.0649231593046595</v>
      </c>
      <c r="BL151" s="18" t="n">
        <f aca="false">Algae_yield_cost_factor/T151</f>
        <v>0.0600229152646005</v>
      </c>
      <c r="BM151" s="18" t="n">
        <f aca="false">Algae_yield_cost_factor/U151</f>
        <v>0.0562573330326357</v>
      </c>
      <c r="BN151" s="18" t="n">
        <f aca="false">Algae_yield_cost_factor/V151</f>
        <v>0.053579504021718</v>
      </c>
      <c r="BO151" s="18" t="n">
        <f aca="false">Algae_yield_cost_factor/W151</f>
        <v>0.0517784401609616</v>
      </c>
      <c r="BP151" s="18" t="n">
        <f aca="false">Algae_yield_cost_factor/X151</f>
        <v>0.0506120380243409</v>
      </c>
      <c r="BQ151" s="18" t="n">
        <f aca="false">Algae_yield_cost_factor/Y151</f>
        <v>0.0498750534585187</v>
      </c>
      <c r="BR151" s="18" t="n">
        <f aca="false">Algae_yield_cost_factor/Z151</f>
        <v>0.0494166252394811</v>
      </c>
      <c r="BS151" s="18" t="n">
        <f aca="false">Algae_yield_cost_factor/AA151</f>
        <v>0.0491342388466059</v>
      </c>
      <c r="BT151" s="18" t="n">
        <f aca="false">Algae_yield_cost_factor/AB151</f>
        <v>0.0489613371798507</v>
      </c>
      <c r="BU151" s="18" t="n">
        <f aca="false">Algae_yield_cost_factor/AC151</f>
        <v>0.0488558619789961</v>
      </c>
    </row>
    <row r="152" customFormat="false" ht="15" hidden="false" customHeight="false" outlineLevel="0" collapsed="false">
      <c r="A152" s="18" t="s">
        <v>712</v>
      </c>
      <c r="B152" s="18" t="s">
        <v>22</v>
      </c>
      <c r="C152" s="18" t="s">
        <v>684</v>
      </c>
      <c r="D152" s="18" t="s">
        <v>684</v>
      </c>
      <c r="E152" s="185" t="n">
        <v>8.3655</v>
      </c>
      <c r="F152" s="18" t="n">
        <f aca="false">E152/$B$2*$F$3/1000</f>
        <v>0.020495475</v>
      </c>
      <c r="G152" s="18" t="n">
        <f aca="false">LOOKUP(RIGHT(D152,5),Ref!$C$4:$C$21,Ref!$E$4:$E$21)*$G$3</f>
        <v>3.5</v>
      </c>
      <c r="H152" s="222" t="n">
        <f aca="false">$E152</f>
        <v>8.3655</v>
      </c>
      <c r="I152" s="185" t="n">
        <f aca="false">$E152</f>
        <v>8.3655</v>
      </c>
      <c r="J152" s="185" t="n">
        <f aca="false">$E152</f>
        <v>8.3655</v>
      </c>
      <c r="K152" s="185" t="n">
        <f aca="false">$E152</f>
        <v>8.3655</v>
      </c>
      <c r="L152" s="185" t="n">
        <f aca="false">$E152</f>
        <v>8.3655</v>
      </c>
      <c r="M152" s="185" t="n">
        <f aca="false">M$3*$E152</f>
        <v>8.76224114206694</v>
      </c>
      <c r="N152" s="185" t="n">
        <f aca="false">N$3*$E152</f>
        <v>9.00009160496771</v>
      </c>
      <c r="O152" s="185" t="n">
        <f aca="false">O$3*$E152</f>
        <v>9.36269204417603</v>
      </c>
      <c r="P152" s="185" t="n">
        <f aca="false">P$3*$E152</f>
        <v>9.89158071940208</v>
      </c>
      <c r="Q152" s="185" t="n">
        <f aca="false">Q$3*$E152</f>
        <v>10.6153294604707</v>
      </c>
      <c r="R152" s="185" t="n">
        <f aca="false">R$3*$E152</f>
        <v>11.5238164648309</v>
      </c>
      <c r="S152" s="185" t="n">
        <f aca="false">S$3*$E152</f>
        <v>12.54825</v>
      </c>
      <c r="T152" s="185" t="n">
        <f aca="false">T$3*$E152</f>
        <v>13.5726835351691</v>
      </c>
      <c r="U152" s="185" t="n">
        <f aca="false">U$3*$E152</f>
        <v>14.4811705395293</v>
      </c>
      <c r="V152" s="185" t="n">
        <f aca="false">V$3*$E152</f>
        <v>15.2049192805979</v>
      </c>
      <c r="W152" s="185" t="n">
        <f aca="false">W$3*$E152</f>
        <v>15.733807955824</v>
      </c>
      <c r="X152" s="185" t="n">
        <f aca="false">X$3*$E152</f>
        <v>16.0964083950323</v>
      </c>
      <c r="Y152" s="185" t="n">
        <f aca="false">Y$3*$E152</f>
        <v>16.3342588579331</v>
      </c>
      <c r="Z152" s="185" t="n">
        <f aca="false">Z$3*$E152</f>
        <v>16.4857885336495</v>
      </c>
      <c r="AA152" s="185" t="n">
        <f aca="false">AA$3*$E152</f>
        <v>16.5805363605621</v>
      </c>
      <c r="AB152" s="185" t="n">
        <f aca="false">AB$3*$E152</f>
        <v>16.6390887314238</v>
      </c>
      <c r="AC152" s="185" t="n">
        <f aca="false">AC$3*$E152</f>
        <v>16.6750109555929</v>
      </c>
      <c r="AD152" s="219" t="n">
        <f aca="false">Algae_electricity_factor/H152</f>
        <v>0.00164289009665044</v>
      </c>
      <c r="AE152" s="220" t="n">
        <f aca="false">Algae_electricity_factor/I152</f>
        <v>0.00164289009665044</v>
      </c>
      <c r="AF152" s="220" t="n">
        <f aca="false">Algae_electricity_factor/J152</f>
        <v>0.00164289009665044</v>
      </c>
      <c r="AG152" s="220" t="n">
        <f aca="false">Algae_electricity_factor/K152</f>
        <v>0.00164289009665044</v>
      </c>
      <c r="AH152" s="220" t="n">
        <f aca="false">Algae_electricity_factor/L152</f>
        <v>0.00164289009665044</v>
      </c>
      <c r="AI152" s="220" t="n">
        <f aca="false">Algae_electricity_factor/M152</f>
        <v>0.00156850249618755</v>
      </c>
      <c r="AJ152" s="220" t="n">
        <f aca="false">Algae_electricity_factor/N152</f>
        <v>0.00152705080200998</v>
      </c>
      <c r="AK152" s="220" t="n">
        <f aca="false">Algae_electricity_factor/O152</f>
        <v>0.00146791083575993</v>
      </c>
      <c r="AL152" s="220" t="n">
        <f aca="false">Algae_electricity_factor/P152</f>
        <v>0.00138942374261492</v>
      </c>
      <c r="AM152" s="220" t="n">
        <f aca="false">Algae_electricity_factor/Q152</f>
        <v>0.00129469341057266</v>
      </c>
      <c r="AN152" s="220" t="n">
        <f aca="false">Algae_electricity_factor/R152</f>
        <v>0.00119262547659214</v>
      </c>
      <c r="AO152" s="220" t="n">
        <f aca="false">Algae_electricity_factor/S152</f>
        <v>0.00109526006443363</v>
      </c>
      <c r="AP152" s="220" t="n">
        <f aca="false">Algae_electricity_factor/T152</f>
        <v>0.00101259246691469</v>
      </c>
      <c r="AQ152" s="220" t="n">
        <f aca="false">Algae_electricity_factor/U152</f>
        <v>0.000949066725373706</v>
      </c>
      <c r="AR152" s="220" t="n">
        <f aca="false">Algae_electricity_factor/V152</f>
        <v>0.000903891487346903</v>
      </c>
      <c r="AS152" s="220" t="n">
        <f aca="false">Algae_electricity_factor/W152</f>
        <v>0.000873507363387003</v>
      </c>
      <c r="AT152" s="220" t="n">
        <f aca="false">Algae_electricity_factor/X152</f>
        <v>0.000853830044954056</v>
      </c>
      <c r="AU152" s="220" t="n">
        <f aca="false">Algae_electricity_factor/Y152</f>
        <v>0.000841397043053129</v>
      </c>
      <c r="AV152" s="220" t="n">
        <f aca="false">Algae_electricity_factor/Z152</f>
        <v>0.000833663314040265</v>
      </c>
      <c r="AW152" s="220" t="n">
        <f aca="false">Algae_electricity_factor/AA152</f>
        <v>0.000828899427899045</v>
      </c>
      <c r="AX152" s="220" t="n">
        <f aca="false">Algae_electricity_factor/AB152</f>
        <v>0.000825982559824551</v>
      </c>
      <c r="AY152" s="220" t="n">
        <f aca="false">Algae_electricity_factor/AC152</f>
        <v>0.000824203182842262</v>
      </c>
      <c r="AZ152" s="211" t="n">
        <f aca="false">Algae_yield_cost_factor/H152</f>
        <v>0.090950047132415</v>
      </c>
      <c r="BA152" s="18" t="n">
        <f aca="false">Algae_yield_cost_factor/I152</f>
        <v>0.090950047132415</v>
      </c>
      <c r="BB152" s="18" t="n">
        <f aca="false">Algae_yield_cost_factor/J152</f>
        <v>0.090950047132415</v>
      </c>
      <c r="BC152" s="18" t="n">
        <f aca="false">Algae_yield_cost_factor/K152</f>
        <v>0.090950047132415</v>
      </c>
      <c r="BD152" s="18" t="n">
        <f aca="false">Algae_yield_cost_factor/L152</f>
        <v>0.090950047132415</v>
      </c>
      <c r="BE152" s="18" t="n">
        <f aca="false">Algae_yield_cost_factor/M152</f>
        <v>0.0868319653556969</v>
      </c>
      <c r="BF152" s="18" t="n">
        <f aca="false">Algae_yield_cost_factor/N152</f>
        <v>0.0845372083619973</v>
      </c>
      <c r="BG152" s="18" t="n">
        <f aca="false">Algae_yield_cost_factor/O152</f>
        <v>0.0812632323797826</v>
      </c>
      <c r="BH152" s="18" t="n">
        <f aca="false">Algae_yield_cost_factor/P152</f>
        <v>0.076918203558087</v>
      </c>
      <c r="BI152" s="18" t="n">
        <f aca="false">Algae_yield_cost_factor/Q152</f>
        <v>0.0716739524778236</v>
      </c>
      <c r="BJ152" s="18" t="n">
        <f aca="false">Algae_yield_cost_factor/R152</f>
        <v>0.0660234933112832</v>
      </c>
      <c r="BK152" s="18" t="n">
        <f aca="false">Algae_yield_cost_factor/S152</f>
        <v>0.0606333647549433</v>
      </c>
      <c r="BL152" s="18" t="n">
        <f aca="false">Algae_yield_cost_factor/T152</f>
        <v>0.0560569040982018</v>
      </c>
      <c r="BM152" s="18" t="n">
        <f aca="false">Algae_yield_cost_factor/U152</f>
        <v>0.0525401325265346</v>
      </c>
      <c r="BN152" s="18" t="n">
        <f aca="false">Algae_yield_cost_factor/V152</f>
        <v>0.0500392409354703</v>
      </c>
      <c r="BO152" s="18" t="n">
        <f aca="false">Algae_yield_cost_factor/W152</f>
        <v>0.0483571822805036</v>
      </c>
      <c r="BP152" s="18" t="n">
        <f aca="false">Algae_yield_cost_factor/X152</f>
        <v>0.0472678501075452</v>
      </c>
      <c r="BQ152" s="18" t="n">
        <f aca="false">Algae_yield_cost_factor/Y152</f>
        <v>0.0465795617605692</v>
      </c>
      <c r="BR152" s="18" t="n">
        <f aca="false">Algae_yield_cost_factor/Z152</f>
        <v>0.0461514241634996</v>
      </c>
      <c r="BS152" s="18" t="n">
        <f aca="false">Algae_yield_cost_factor/AA152</f>
        <v>0.0458876964376093</v>
      </c>
      <c r="BT152" s="18" t="n">
        <f aca="false">Algae_yield_cost_factor/AB152</f>
        <v>0.0457262192399592</v>
      </c>
      <c r="BU152" s="18" t="n">
        <f aca="false">Algae_yield_cost_factor/AC152</f>
        <v>0.0456277133078001</v>
      </c>
    </row>
    <row r="153" customFormat="false" ht="15" hidden="false" customHeight="false" outlineLevel="0" collapsed="false">
      <c r="A153" s="18" t="s">
        <v>712</v>
      </c>
      <c r="B153" s="18" t="s">
        <v>22</v>
      </c>
      <c r="C153" s="18" t="s">
        <v>685</v>
      </c>
      <c r="D153" s="18" t="s">
        <v>685</v>
      </c>
      <c r="E153" s="185" t="n">
        <v>7.7385</v>
      </c>
      <c r="F153" s="18" t="n">
        <f aca="false">E153/$B$2*$F$3/1000</f>
        <v>0.018959325</v>
      </c>
      <c r="G153" s="18" t="n">
        <f aca="false">LOOKUP(RIGHT(D153,5),Ref!$C$4:$C$21,Ref!$E$4:$E$21)*$G$3</f>
        <v>4</v>
      </c>
      <c r="H153" s="222" t="n">
        <f aca="false">$E153</f>
        <v>7.7385</v>
      </c>
      <c r="I153" s="185" t="n">
        <f aca="false">$E153</f>
        <v>7.7385</v>
      </c>
      <c r="J153" s="185" t="n">
        <f aca="false">$E153</f>
        <v>7.7385</v>
      </c>
      <c r="K153" s="185" t="n">
        <f aca="false">$E153</f>
        <v>7.7385</v>
      </c>
      <c r="L153" s="185" t="n">
        <f aca="false">$E153</f>
        <v>7.7385</v>
      </c>
      <c r="M153" s="185" t="n">
        <f aca="false">M$3*$E153</f>
        <v>8.1055051195846</v>
      </c>
      <c r="N153" s="185" t="n">
        <f aca="false">N$3*$E153</f>
        <v>8.32552852609439</v>
      </c>
      <c r="O153" s="185" t="n">
        <f aca="false">O$3*$E153</f>
        <v>8.66095181206816</v>
      </c>
      <c r="P153" s="185" t="n">
        <f aca="false">P$3*$E153</f>
        <v>9.15019991597549</v>
      </c>
      <c r="Q153" s="185" t="n">
        <f aca="false">Q$3*$E153</f>
        <v>9.81970318927171</v>
      </c>
      <c r="R153" s="185" t="n">
        <f aca="false">R$3*$E153</f>
        <v>10.6600984654944</v>
      </c>
      <c r="S153" s="185" t="n">
        <f aca="false">S$3*$E153</f>
        <v>11.60775</v>
      </c>
      <c r="T153" s="185" t="n">
        <f aca="false">T$3*$E153</f>
        <v>12.5554015345055</v>
      </c>
      <c r="U153" s="185" t="n">
        <f aca="false">U$3*$E153</f>
        <v>13.3957968107283</v>
      </c>
      <c r="V153" s="185" t="n">
        <f aca="false">V$3*$E153</f>
        <v>14.0653000840245</v>
      </c>
      <c r="W153" s="185" t="n">
        <f aca="false">W$3*$E153</f>
        <v>14.5545481879318</v>
      </c>
      <c r="X153" s="185" t="n">
        <f aca="false">X$3*$E153</f>
        <v>14.8899714739056</v>
      </c>
      <c r="Y153" s="185" t="n">
        <f aca="false">Y$3*$E153</f>
        <v>15.1099948804154</v>
      </c>
      <c r="Z153" s="185" t="n">
        <f aca="false">Z$3*$E153</f>
        <v>15.2501673023306</v>
      </c>
      <c r="AA153" s="185" t="n">
        <f aca="false">AA$3*$E153</f>
        <v>15.3378137142084</v>
      </c>
      <c r="AB153" s="185" t="n">
        <f aca="false">AB$3*$E153</f>
        <v>15.3919775444532</v>
      </c>
      <c r="AC153" s="185" t="n">
        <f aca="false">AC$3*$E153</f>
        <v>15.4252073731224</v>
      </c>
      <c r="AD153" s="219" t="n">
        <f aca="false">Algae_electricity_factor/H153</f>
        <v>0.00177600272708267</v>
      </c>
      <c r="AE153" s="220" t="n">
        <f aca="false">Algae_electricity_factor/I153</f>
        <v>0.00177600272708267</v>
      </c>
      <c r="AF153" s="220" t="n">
        <f aca="false">Algae_electricity_factor/J153</f>
        <v>0.00177600272708267</v>
      </c>
      <c r="AG153" s="220" t="n">
        <f aca="false">Algae_electricity_factor/K153</f>
        <v>0.00177600272708267</v>
      </c>
      <c r="AH153" s="220" t="n">
        <f aca="false">Algae_electricity_factor/L153</f>
        <v>0.00177600272708267</v>
      </c>
      <c r="AI153" s="220" t="n">
        <f aca="false">Algae_electricity_factor/M153</f>
        <v>0.00169558798628377</v>
      </c>
      <c r="AJ153" s="220" t="n">
        <f aca="false">Algae_electricity_factor/N153</f>
        <v>0.00165077773266324</v>
      </c>
      <c r="AK153" s="220" t="n">
        <f aca="false">Algae_electricity_factor/O153</f>
        <v>0.00158684604206884</v>
      </c>
      <c r="AL153" s="220" t="n">
        <f aca="false">Algae_electricity_factor/P153</f>
        <v>0.00150199965353042</v>
      </c>
      <c r="AM153" s="220" t="n">
        <f aca="false">Algae_electricity_factor/Q153</f>
        <v>0.00139959394277258</v>
      </c>
      <c r="AN153" s="220" t="n">
        <f aca="false">Algae_electricity_factor/R153</f>
        <v>0.0012892561122222</v>
      </c>
      <c r="AO153" s="220" t="n">
        <f aca="false">Algae_electricity_factor/S153</f>
        <v>0.00118400181805512</v>
      </c>
      <c r="AP153" s="220" t="n">
        <f aca="false">Algae_electricity_factor/T153</f>
        <v>0.00109463620623827</v>
      </c>
      <c r="AQ153" s="220" t="n">
        <f aca="false">Algae_electricity_factor/U153</f>
        <v>0.0010259633896897</v>
      </c>
      <c r="AR153" s="220" t="n">
        <f aca="false">Algae_electricity_factor/V153</f>
        <v>0.000977127897835564</v>
      </c>
      <c r="AS153" s="220" t="n">
        <f aca="false">Algae_electricity_factor/W153</f>
        <v>0.000944281947200876</v>
      </c>
      <c r="AT153" s="220" t="n">
        <f aca="false">Algae_electricity_factor/X153</f>
        <v>0.000923010304459928</v>
      </c>
      <c r="AU153" s="220" t="n">
        <f aca="false">Algae_electricity_factor/Y153</f>
        <v>0.000909569937799438</v>
      </c>
      <c r="AV153" s="220" t="n">
        <f aca="false">Algae_electricity_factor/Z153</f>
        <v>0.000901209595348431</v>
      </c>
      <c r="AW153" s="220" t="n">
        <f aca="false">Algae_electricity_factor/AA153</f>
        <v>0.000896059722696836</v>
      </c>
      <c r="AX153" s="220" t="n">
        <f aca="false">Algae_electricity_factor/AB153</f>
        <v>0.000892906519895624</v>
      </c>
      <c r="AY153" s="220" t="n">
        <f aca="false">Algae_electricity_factor/AC153</f>
        <v>0.000890982971643981</v>
      </c>
      <c r="AZ153" s="211" t="n">
        <f aca="false">Algae_yield_cost_factor/H153</f>
        <v>0.0983191341068964</v>
      </c>
      <c r="BA153" s="18" t="n">
        <f aca="false">Algae_yield_cost_factor/I153</f>
        <v>0.0983191341068964</v>
      </c>
      <c r="BB153" s="18" t="n">
        <f aca="false">Algae_yield_cost_factor/J153</f>
        <v>0.0983191341068964</v>
      </c>
      <c r="BC153" s="18" t="n">
        <f aca="false">Algae_yield_cost_factor/K153</f>
        <v>0.0983191341068964</v>
      </c>
      <c r="BD153" s="18" t="n">
        <f aca="false">Algae_yield_cost_factor/L153</f>
        <v>0.0983191341068964</v>
      </c>
      <c r="BE153" s="18" t="n">
        <f aca="false">Algae_yield_cost_factor/M153</f>
        <v>0.0938673911201243</v>
      </c>
      <c r="BF153" s="18" t="n">
        <f aca="false">Algae_yield_cost_factor/N153</f>
        <v>0.0913867049883425</v>
      </c>
      <c r="BG153" s="18" t="n">
        <f aca="false">Algae_yield_cost_factor/O153</f>
        <v>0.0878474601632191</v>
      </c>
      <c r="BH153" s="18" t="n">
        <f aca="false">Algae_yield_cost_factor/P153</f>
        <v>0.0831503820979747</v>
      </c>
      <c r="BI153" s="18" t="n">
        <f aca="false">Algae_yield_cost_factor/Q153</f>
        <v>0.0774812236807177</v>
      </c>
      <c r="BJ153" s="18" t="n">
        <f aca="false">Algae_yield_cost_factor/R153</f>
        <v>0.0713729447949267</v>
      </c>
      <c r="BK153" s="18" t="n">
        <f aca="false">Algae_yield_cost_factor/S153</f>
        <v>0.0655460894045976</v>
      </c>
      <c r="BL153" s="18" t="n">
        <f aca="false">Algae_yield_cost_factor/T153</f>
        <v>0.0605988280976297</v>
      </c>
      <c r="BM153" s="18" t="n">
        <f aca="false">Algae_yield_cost_factor/U153</f>
        <v>0.0567971155457421</v>
      </c>
      <c r="BN153" s="18" t="n">
        <f aca="false">Algae_yield_cost_factor/V153</f>
        <v>0.0540935930794956</v>
      </c>
      <c r="BO153" s="18" t="n">
        <f aca="false">Algae_yield_cost_factor/W153</f>
        <v>0.0522752482222075</v>
      </c>
      <c r="BP153" s="18" t="n">
        <f aca="false">Algae_yield_cost_factor/X153</f>
        <v>0.0510976545938708</v>
      </c>
      <c r="BQ153" s="18" t="n">
        <f aca="false">Algae_yield_cost_factor/Y153</f>
        <v>0.0503535987475663</v>
      </c>
      <c r="BR153" s="18" t="n">
        <f aca="false">Algae_yield_cost_factor/Z153</f>
        <v>0.0498907719635273</v>
      </c>
      <c r="BS153" s="18" t="n">
        <f aca="false">Algae_yield_cost_factor/AA153</f>
        <v>0.0496056761063282</v>
      </c>
      <c r="BT153" s="18" t="n">
        <f aca="false">Algae_yield_cost_factor/AB153</f>
        <v>0.0494311154683567</v>
      </c>
      <c r="BU153" s="18" t="n">
        <f aca="false">Algae_yield_cost_factor/AC153</f>
        <v>0.049324628245319</v>
      </c>
    </row>
    <row r="154" customFormat="false" ht="15" hidden="false" customHeight="false" outlineLevel="0" collapsed="false">
      <c r="A154" s="18" t="s">
        <v>712</v>
      </c>
      <c r="B154" s="18" t="s">
        <v>22</v>
      </c>
      <c r="C154" s="18" t="s">
        <v>686</v>
      </c>
      <c r="D154" s="18" t="s">
        <v>686</v>
      </c>
      <c r="E154" s="185" t="n">
        <v>8.8935</v>
      </c>
      <c r="F154" s="18" t="n">
        <f aca="false">E154/$B$2*$F$3/1000</f>
        <v>0.021789075</v>
      </c>
      <c r="G154" s="18" t="n">
        <f aca="false">LOOKUP(RIGHT(D154,5),Ref!$C$4:$C$21,Ref!$E$4:$E$21)*$G$3</f>
        <v>4.5</v>
      </c>
      <c r="H154" s="222" t="n">
        <f aca="false">$E154</f>
        <v>8.8935</v>
      </c>
      <c r="I154" s="185" t="n">
        <f aca="false">$E154</f>
        <v>8.8935</v>
      </c>
      <c r="J154" s="185" t="n">
        <f aca="false">$E154</f>
        <v>8.8935</v>
      </c>
      <c r="K154" s="185" t="n">
        <f aca="false">$E154</f>
        <v>8.8935</v>
      </c>
      <c r="L154" s="185" t="n">
        <f aca="false">$E154</f>
        <v>8.8935</v>
      </c>
      <c r="M154" s="185" t="n">
        <f aca="false">M$3*$E154</f>
        <v>9.31528200310469</v>
      </c>
      <c r="N154" s="185" t="n">
        <f aca="false">N$3*$E154</f>
        <v>9.56814472401893</v>
      </c>
      <c r="O154" s="185" t="n">
        <f aca="false">O$3*$E154</f>
        <v>9.9536311870037</v>
      </c>
      <c r="P154" s="185" t="n">
        <f aca="false">P$3*$E154</f>
        <v>10.5159013959718</v>
      </c>
      <c r="Q154" s="185" t="n">
        <f aca="false">Q$3*$E154</f>
        <v>11.2853305309541</v>
      </c>
      <c r="R154" s="185" t="n">
        <f aca="false">R$3*$E154</f>
        <v>12.2511579379563</v>
      </c>
      <c r="S154" s="185" t="n">
        <f aca="false">S$3*$E154</f>
        <v>13.34025</v>
      </c>
      <c r="T154" s="185" t="n">
        <f aca="false">T$3*$E154</f>
        <v>14.4293420620437</v>
      </c>
      <c r="U154" s="185" t="n">
        <f aca="false">U$3*$E154</f>
        <v>15.395169469046</v>
      </c>
      <c r="V154" s="185" t="n">
        <f aca="false">V$3*$E154</f>
        <v>16.1645986040282</v>
      </c>
      <c r="W154" s="185" t="n">
        <f aca="false">W$3*$E154</f>
        <v>16.7268688129963</v>
      </c>
      <c r="X154" s="185" t="n">
        <f aca="false">X$3*$E154</f>
        <v>17.1123552759811</v>
      </c>
      <c r="Y154" s="185" t="n">
        <f aca="false">Y$3*$E154</f>
        <v>17.3652179968953</v>
      </c>
      <c r="Z154" s="185" t="n">
        <f aca="false">Z$3*$E154</f>
        <v>17.5263116758128</v>
      </c>
      <c r="AA154" s="185" t="n">
        <f aca="false">AA$3*$E154</f>
        <v>17.6270396417021</v>
      </c>
      <c r="AB154" s="185" t="n">
        <f aca="false">AB$3*$E154</f>
        <v>17.6892876257148</v>
      </c>
      <c r="AC154" s="185" t="n">
        <f aca="false">AC$3*$E154</f>
        <v>17.7274771303049</v>
      </c>
      <c r="AD154" s="219" t="n">
        <f aca="false">Algae_electricity_factor/H154</f>
        <v>0.00154535302226674</v>
      </c>
      <c r="AE154" s="220" t="n">
        <f aca="false">Algae_electricity_factor/I154</f>
        <v>0.00154535302226674</v>
      </c>
      <c r="AF154" s="220" t="n">
        <f aca="false">Algae_electricity_factor/J154</f>
        <v>0.00154535302226674</v>
      </c>
      <c r="AG154" s="220" t="n">
        <f aca="false">Algae_electricity_factor/K154</f>
        <v>0.00154535302226674</v>
      </c>
      <c r="AH154" s="220" t="n">
        <f aca="false">Algae_electricity_factor/L154</f>
        <v>0.00154535302226674</v>
      </c>
      <c r="AI154" s="220" t="n">
        <f aca="false">Algae_electricity_factor/M154</f>
        <v>0.00147538175429887</v>
      </c>
      <c r="AJ154" s="220" t="n">
        <f aca="false">Algae_electricity_factor/N154</f>
        <v>0.00143639101413555</v>
      </c>
      <c r="AK154" s="220" t="n">
        <f aca="false">Algae_electricity_factor/O154</f>
        <v>0.00138076214050145</v>
      </c>
      <c r="AL154" s="220" t="n">
        <f aca="false">Algae_electricity_factor/P154</f>
        <v>0.00130693476346153</v>
      </c>
      <c r="AM154" s="220" t="n">
        <f aca="false">Algae_electricity_factor/Q154</f>
        <v>0.00121782849565926</v>
      </c>
      <c r="AN154" s="220" t="n">
        <f aca="false">Algae_electricity_factor/R154</f>
        <v>0.00112182025349205</v>
      </c>
      <c r="AO154" s="220" t="n">
        <f aca="false">Algae_electricity_factor/S154</f>
        <v>0.00103023534817783</v>
      </c>
      <c r="AP154" s="220" t="n">
        <f aca="false">Algae_electricity_factor/T154</f>
        <v>0.000952475659973556</v>
      </c>
      <c r="AQ154" s="220" t="n">
        <f aca="false">Algae_electricity_factor/U154</f>
        <v>0.000892721391028699</v>
      </c>
      <c r="AR154" s="220" t="n">
        <f aca="false">Algae_electricity_factor/V154</f>
        <v>0.000850228170843933</v>
      </c>
      <c r="AS154" s="220" t="n">
        <f aca="false">Algae_electricity_factor/W154</f>
        <v>0.000821647928083879</v>
      </c>
      <c r="AT154" s="220" t="n">
        <f aca="false">Algae_electricity_factor/X154</f>
        <v>0.000803138836348249</v>
      </c>
      <c r="AU154" s="220" t="n">
        <f aca="false">Algae_electricity_factor/Y154</f>
        <v>0.000791443971851459</v>
      </c>
      <c r="AV154" s="220" t="n">
        <f aca="false">Algae_electricity_factor/Z154</f>
        <v>0.000784169388160323</v>
      </c>
      <c r="AW154" s="220" t="n">
        <f aca="false">Algae_electricity_factor/AA154</f>
        <v>0.000779688330138805</v>
      </c>
      <c r="AX154" s="220" t="n">
        <f aca="false">Algae_electricity_factor/AB154</f>
        <v>0.000776944634194894</v>
      </c>
      <c r="AY154" s="220" t="n">
        <f aca="false">Algae_electricity_factor/AC154</f>
        <v>0.000775270897404503</v>
      </c>
      <c r="AZ154" s="211" t="n">
        <f aca="false">Algae_yield_cost_factor/H154</f>
        <v>0.085550415391715</v>
      </c>
      <c r="BA154" s="18" t="n">
        <f aca="false">Algae_yield_cost_factor/I154</f>
        <v>0.085550415391715</v>
      </c>
      <c r="BB154" s="18" t="n">
        <f aca="false">Algae_yield_cost_factor/J154</f>
        <v>0.085550415391715</v>
      </c>
      <c r="BC154" s="18" t="n">
        <f aca="false">Algae_yield_cost_factor/K154</f>
        <v>0.085550415391715</v>
      </c>
      <c r="BD154" s="18" t="n">
        <f aca="false">Algae_yield_cost_factor/L154</f>
        <v>0.085550415391715</v>
      </c>
      <c r="BE154" s="18" t="n">
        <f aca="false">Algae_yield_cost_factor/M154</f>
        <v>0.0816768208447835</v>
      </c>
      <c r="BF154" s="18" t="n">
        <f aca="false">Algae_yield_cost_factor/N154</f>
        <v>0.0795183017431032</v>
      </c>
      <c r="BG154" s="18" t="n">
        <f aca="false">Algae_yield_cost_factor/O154</f>
        <v>0.0764386991030608</v>
      </c>
      <c r="BH154" s="18" t="n">
        <f aca="false">Algae_yield_cost_factor/P154</f>
        <v>0.0723516311761598</v>
      </c>
      <c r="BI154" s="18" t="n">
        <f aca="false">Algae_yield_cost_factor/Q154</f>
        <v>0.0674187270988063</v>
      </c>
      <c r="BJ154" s="18" t="n">
        <f aca="false">Algae_yield_cost_factor/R154</f>
        <v>0.0621037311851959</v>
      </c>
      <c r="BK154" s="18" t="n">
        <f aca="false">Algae_yield_cost_factor/S154</f>
        <v>0.0570336102611434</v>
      </c>
      <c r="BL154" s="18" t="n">
        <f aca="false">Algae_yield_cost_factor/T154</f>
        <v>0.0527288504226128</v>
      </c>
      <c r="BM154" s="18" t="n">
        <f aca="false">Algae_yield_cost_factor/U154</f>
        <v>0.0494208667735678</v>
      </c>
      <c r="BN154" s="18" t="n">
        <f aca="false">Algae_yield_cost_factor/V154</f>
        <v>0.0470684511211196</v>
      </c>
      <c r="BO154" s="18" t="n">
        <f aca="false">Algae_yield_cost_factor/W154</f>
        <v>0.0454862549465962</v>
      </c>
      <c r="BP154" s="18" t="n">
        <f aca="false">Algae_yield_cost_factor/X154</f>
        <v>0.0444615955557057</v>
      </c>
      <c r="BQ154" s="18" t="n">
        <f aca="false">Algae_yield_cost_factor/Y154</f>
        <v>0.0438141703387914</v>
      </c>
      <c r="BR154" s="18" t="n">
        <f aca="false">Algae_yield_cost_factor/Z154</f>
        <v>0.043411450929303</v>
      </c>
      <c r="BS154" s="18" t="n">
        <f aca="false">Algae_yield_cost_factor/AA154</f>
        <v>0.0431633805081037</v>
      </c>
      <c r="BT154" s="18" t="n">
        <f aca="false">Algae_yield_cost_factor/AB154</f>
        <v>0.0430114900828558</v>
      </c>
      <c r="BU154" s="18" t="n">
        <f aca="false">Algae_yield_cost_factor/AC154</f>
        <v>0.0429188323693036</v>
      </c>
    </row>
    <row r="155" customFormat="false" ht="15" hidden="false" customHeight="false" outlineLevel="0" collapsed="false">
      <c r="A155" s="18" t="s">
        <v>713</v>
      </c>
      <c r="B155" s="18" t="s">
        <v>22</v>
      </c>
      <c r="C155" s="18" t="s">
        <v>690</v>
      </c>
      <c r="D155" s="18" t="s">
        <v>690</v>
      </c>
      <c r="E155" s="185" t="n">
        <v>7.89525</v>
      </c>
      <c r="F155" s="18" t="n">
        <f aca="false">E155/$B$2*$F$3/1000</f>
        <v>0.0193433625</v>
      </c>
      <c r="G155" s="18" t="n">
        <f aca="false">LOOKUP(RIGHT(D155,5),Ref!$C$4:$C$21,Ref!$E$4:$E$21)*$G$3</f>
        <v>1.5</v>
      </c>
      <c r="H155" s="222" t="n">
        <f aca="false">$E155</f>
        <v>7.89525</v>
      </c>
      <c r="I155" s="185" t="n">
        <f aca="false">$E155</f>
        <v>7.89525</v>
      </c>
      <c r="J155" s="185" t="n">
        <f aca="false">$E155</f>
        <v>7.89525</v>
      </c>
      <c r="K155" s="185" t="n">
        <f aca="false">$E155</f>
        <v>7.89525</v>
      </c>
      <c r="L155" s="185" t="n">
        <f aca="false">$E155</f>
        <v>7.89525</v>
      </c>
      <c r="M155" s="185" t="n">
        <f aca="false">M$3*$E155</f>
        <v>8.26968912520518</v>
      </c>
      <c r="N155" s="185" t="n">
        <f aca="false">N$3*$E155</f>
        <v>8.49416929581272</v>
      </c>
      <c r="O155" s="185" t="n">
        <f aca="false">O$3*$E155</f>
        <v>8.83638687009512</v>
      </c>
      <c r="P155" s="185" t="n">
        <f aca="false">P$3*$E155</f>
        <v>9.33554511683214</v>
      </c>
      <c r="Q155" s="185" t="n">
        <f aca="false">Q$3*$E155</f>
        <v>10.0186097570715</v>
      </c>
      <c r="R155" s="185" t="n">
        <f aca="false">R$3*$E155</f>
        <v>10.8760279653286</v>
      </c>
      <c r="S155" s="185" t="n">
        <f aca="false">S$3*$E155</f>
        <v>11.842875</v>
      </c>
      <c r="T155" s="185" t="n">
        <f aca="false">T$3*$E155</f>
        <v>12.8097220346714</v>
      </c>
      <c r="U155" s="185" t="n">
        <f aca="false">U$3*$E155</f>
        <v>13.6671402429285</v>
      </c>
      <c r="V155" s="185" t="n">
        <f aca="false">V$3*$E155</f>
        <v>14.3502048831679</v>
      </c>
      <c r="W155" s="185" t="n">
        <f aca="false">W$3*$E155</f>
        <v>14.8493631299049</v>
      </c>
      <c r="X155" s="185" t="n">
        <f aca="false">X$3*$E155</f>
        <v>15.1915807041873</v>
      </c>
      <c r="Y155" s="185" t="n">
        <f aca="false">Y$3*$E155</f>
        <v>15.4160608747948</v>
      </c>
      <c r="Z155" s="185" t="n">
        <f aca="false">Z$3*$E155</f>
        <v>15.5590726101604</v>
      </c>
      <c r="AA155" s="185" t="n">
        <f aca="false">AA$3*$E155</f>
        <v>15.6484943757968</v>
      </c>
      <c r="AB155" s="185" t="n">
        <f aca="false">AB$3*$E155</f>
        <v>15.7037553411958</v>
      </c>
      <c r="AC155" s="185" t="n">
        <f aca="false">AC$3*$E155</f>
        <v>15.73765826874</v>
      </c>
      <c r="AD155" s="219" t="n">
        <f aca="false">Algae_electricity_factor/H155</f>
        <v>0.00174074248485219</v>
      </c>
      <c r="AE155" s="220" t="n">
        <f aca="false">Algae_electricity_factor/I155</f>
        <v>0.00174074248485219</v>
      </c>
      <c r="AF155" s="220" t="n">
        <f aca="false">Algae_electricity_factor/J155</f>
        <v>0.00174074248485219</v>
      </c>
      <c r="AG155" s="220" t="n">
        <f aca="false">Algae_electricity_factor/K155</f>
        <v>0.00174074248485219</v>
      </c>
      <c r="AH155" s="220" t="n">
        <f aca="false">Algae_electricity_factor/L155</f>
        <v>0.00174074248485219</v>
      </c>
      <c r="AI155" s="220" t="n">
        <f aca="false">Algae_electricity_factor/M155</f>
        <v>0.00166192427495734</v>
      </c>
      <c r="AJ155" s="220" t="n">
        <f aca="false">Algae_electricity_factor/N155</f>
        <v>0.00161800367109522</v>
      </c>
      <c r="AK155" s="220" t="n">
        <f aca="false">Algae_electricity_factor/O155</f>
        <v>0.00155534126171428</v>
      </c>
      <c r="AL155" s="220" t="n">
        <f aca="false">Algae_electricity_factor/P155</f>
        <v>0.00147217938872679</v>
      </c>
      <c r="AM155" s="220" t="n">
        <f aca="false">Algae_electricity_factor/Q155</f>
        <v>0.00137180681120238</v>
      </c>
      <c r="AN155" s="220" t="n">
        <f aca="false">Algae_electricity_factor/R155</f>
        <v>0.00126365959588759</v>
      </c>
      <c r="AO155" s="220" t="n">
        <f aca="false">Algae_electricity_factor/S155</f>
        <v>0.00116049498990146</v>
      </c>
      <c r="AP155" s="220" t="n">
        <f aca="false">Algae_electricity_factor/T155</f>
        <v>0.00107290361698171</v>
      </c>
      <c r="AQ155" s="220" t="n">
        <f aca="false">Algae_electricity_factor/U155</f>
        <v>0.00100559421058405</v>
      </c>
      <c r="AR155" s="220" t="n">
        <f aca="false">Algae_electricity_factor/V155</f>
        <v>0.000957728284398913</v>
      </c>
      <c r="AS155" s="220" t="n">
        <f aca="false">Algae_electricity_factor/W155</f>
        <v>0.000925534447726668</v>
      </c>
      <c r="AT155" s="220" t="n">
        <f aca="false">Algae_electricity_factor/X155</f>
        <v>0.000904685126001476</v>
      </c>
      <c r="AU155" s="220" t="n">
        <f aca="false">Algae_electricity_factor/Y155</f>
        <v>0.000891511600476356</v>
      </c>
      <c r="AV155" s="220" t="n">
        <f aca="false">Algae_electricity_factor/Z155</f>
        <v>0.000883317241835766</v>
      </c>
      <c r="AW155" s="220" t="n">
        <f aca="false">Algae_electricity_factor/AA155</f>
        <v>0.000878269613259803</v>
      </c>
      <c r="AX155" s="220" t="n">
        <f aca="false">Algae_electricity_factor/AB155</f>
        <v>0.00087517901323103</v>
      </c>
      <c r="AY155" s="220" t="n">
        <f aca="false">Algae_electricity_factor/AC155</f>
        <v>0.000873293654547601</v>
      </c>
      <c r="AZ155" s="211" t="n">
        <f aca="false">Algae_yield_cost_factor/H155</f>
        <v>0.0963671345791733</v>
      </c>
      <c r="BA155" s="18" t="n">
        <f aca="false">Algae_yield_cost_factor/I155</f>
        <v>0.0963671345791733</v>
      </c>
      <c r="BB155" s="18" t="n">
        <f aca="false">Algae_yield_cost_factor/J155</f>
        <v>0.0963671345791733</v>
      </c>
      <c r="BC155" s="18" t="n">
        <f aca="false">Algae_yield_cost_factor/K155</f>
        <v>0.0963671345791733</v>
      </c>
      <c r="BD155" s="18" t="n">
        <f aca="false">Algae_yield_cost_factor/L155</f>
        <v>0.0963671345791733</v>
      </c>
      <c r="BE155" s="18" t="n">
        <f aca="false">Algae_yield_cost_factor/M155</f>
        <v>0.0920037752044688</v>
      </c>
      <c r="BF155" s="18" t="n">
        <f aca="false">Algae_yield_cost_factor/N155</f>
        <v>0.08957233989453</v>
      </c>
      <c r="BG155" s="18" t="n">
        <f aca="false">Algae_yield_cost_factor/O155</f>
        <v>0.0861033622080455</v>
      </c>
      <c r="BH155" s="18" t="n">
        <f aca="false">Algae_yield_cost_factor/P155</f>
        <v>0.081499538566249</v>
      </c>
      <c r="BI155" s="18" t="n">
        <f aca="false">Algae_yield_cost_factor/Q155</f>
        <v>0.075942933973368</v>
      </c>
      <c r="BJ155" s="18" t="n">
        <f aca="false">Algae_yield_cost_factor/R155</f>
        <v>0.0699559270821747</v>
      </c>
      <c r="BK155" s="18" t="n">
        <f aca="false">Algae_yield_cost_factor/S155</f>
        <v>0.0642447563861155</v>
      </c>
      <c r="BL155" s="18" t="n">
        <f aca="false">Algae_yield_cost_factor/T155</f>
        <v>0.0593957165680007</v>
      </c>
      <c r="BM155" s="18" t="n">
        <f aca="false">Algae_yield_cost_factor/U155</f>
        <v>0.0556694821127545</v>
      </c>
      <c r="BN155" s="18" t="n">
        <f aca="false">Algae_yield_cost_factor/V155</f>
        <v>0.0530196345962037</v>
      </c>
      <c r="BO155" s="18" t="n">
        <f aca="false">Algae_yield_cost_factor/W155</f>
        <v>0.0512373906294991</v>
      </c>
      <c r="BP155" s="18" t="n">
        <f aca="false">Algae_yield_cost_factor/X155</f>
        <v>0.0500831766029789</v>
      </c>
      <c r="BQ155" s="18" t="n">
        <f aca="false">Algae_yield_cost_factor/Y155</f>
        <v>0.0493538930253053</v>
      </c>
      <c r="BR155" s="18" t="n">
        <f aca="false">Algae_yield_cost_factor/Z155</f>
        <v>0.0489002550697896</v>
      </c>
      <c r="BS155" s="18" t="n">
        <f aca="false">Algae_yield_cost_factor/AA155</f>
        <v>0.0486208194229214</v>
      </c>
      <c r="BT155" s="18" t="n">
        <f aca="false">Algae_yield_cost_factor/AB155</f>
        <v>0.048449724461148</v>
      </c>
      <c r="BU155" s="18" t="n">
        <f aca="false">Algae_yield_cost_factor/AC155</f>
        <v>0.0483453514045029</v>
      </c>
    </row>
    <row r="156" customFormat="false" ht="15" hidden="false" customHeight="false" outlineLevel="0" collapsed="false">
      <c r="A156" s="18" t="s">
        <v>713</v>
      </c>
      <c r="B156" s="18" t="s">
        <v>22</v>
      </c>
      <c r="C156" s="18" t="s">
        <v>683</v>
      </c>
      <c r="D156" s="18" t="s">
        <v>683</v>
      </c>
      <c r="E156" s="185" t="n">
        <v>7.9365</v>
      </c>
      <c r="F156" s="18" t="n">
        <f aca="false">E156/$B$2*$F$3/1000</f>
        <v>0.019444425</v>
      </c>
      <c r="G156" s="18" t="n">
        <f aca="false">LOOKUP(RIGHT(D156,5),Ref!$C$4:$C$21,Ref!$E$4:$E$21)*$G$3</f>
        <v>3</v>
      </c>
      <c r="H156" s="222" t="n">
        <f aca="false">$E156</f>
        <v>7.9365</v>
      </c>
      <c r="I156" s="185" t="n">
        <f aca="false">$E156</f>
        <v>7.9365</v>
      </c>
      <c r="J156" s="185" t="n">
        <f aca="false">$E156</f>
        <v>7.9365</v>
      </c>
      <c r="K156" s="185" t="n">
        <f aca="false">$E156</f>
        <v>7.9365</v>
      </c>
      <c r="L156" s="185" t="n">
        <f aca="false">$E156</f>
        <v>7.9365</v>
      </c>
      <c r="M156" s="185" t="n">
        <f aca="false">M$3*$E156</f>
        <v>8.31289544247376</v>
      </c>
      <c r="N156" s="185" t="n">
        <f aca="false">N$3*$E156</f>
        <v>8.5385484457386</v>
      </c>
      <c r="O156" s="185" t="n">
        <f aca="false">O$3*$E156</f>
        <v>8.88255399062854</v>
      </c>
      <c r="P156" s="185" t="n">
        <f aca="false">P$3*$E156</f>
        <v>9.38432016968915</v>
      </c>
      <c r="Q156" s="185" t="n">
        <f aca="false">Q$3*$E156</f>
        <v>10.070953590703</v>
      </c>
      <c r="R156" s="185" t="n">
        <f aca="false">R$3*$E156</f>
        <v>10.9328515179165</v>
      </c>
      <c r="S156" s="185" t="n">
        <f aca="false">S$3*$E156</f>
        <v>11.90475</v>
      </c>
      <c r="T156" s="185" t="n">
        <f aca="false">T$3*$E156</f>
        <v>12.8766484820835</v>
      </c>
      <c r="U156" s="185" t="n">
        <f aca="false">U$3*$E156</f>
        <v>13.738546409297</v>
      </c>
      <c r="V156" s="185" t="n">
        <f aca="false">V$3*$E156</f>
        <v>14.4251798303109</v>
      </c>
      <c r="W156" s="185" t="n">
        <f aca="false">W$3*$E156</f>
        <v>14.9269460093715</v>
      </c>
      <c r="X156" s="185" t="n">
        <f aca="false">X$3*$E156</f>
        <v>15.2709515542614</v>
      </c>
      <c r="Y156" s="185" t="n">
        <f aca="false">Y$3*$E156</f>
        <v>15.4966045575262</v>
      </c>
      <c r="Z156" s="185" t="n">
        <f aca="false">Z$3*$E156</f>
        <v>15.6403634806419</v>
      </c>
      <c r="AA156" s="185" t="n">
        <f aca="false">AA$3*$E156</f>
        <v>15.7302524446359</v>
      </c>
      <c r="AB156" s="185" t="n">
        <f aca="false">AB$3*$E156</f>
        <v>15.7858021298123</v>
      </c>
      <c r="AC156" s="185" t="n">
        <f aca="false">AC$3*$E156</f>
        <v>15.8198821886394</v>
      </c>
      <c r="AD156" s="219" t="n">
        <f aca="false">Algae_electricity_factor/H156</f>
        <v>0.00173169496673965</v>
      </c>
      <c r="AE156" s="220" t="n">
        <f aca="false">Algae_electricity_factor/I156</f>
        <v>0.00173169496673965</v>
      </c>
      <c r="AF156" s="220" t="n">
        <f aca="false">Algae_electricity_factor/J156</f>
        <v>0.00173169496673965</v>
      </c>
      <c r="AG156" s="220" t="n">
        <f aca="false">Algae_electricity_factor/K156</f>
        <v>0.00173169496673965</v>
      </c>
      <c r="AH156" s="220" t="n">
        <f aca="false">Algae_electricity_factor/L156</f>
        <v>0.00173169496673965</v>
      </c>
      <c r="AI156" s="220" t="n">
        <f aca="false">Algae_electricity_factor/M156</f>
        <v>0.00165328641490039</v>
      </c>
      <c r="AJ156" s="220" t="n">
        <f aca="false">Algae_electricity_factor/N156</f>
        <v>0.00160959408860512</v>
      </c>
      <c r="AK156" s="220" t="n">
        <f aca="false">Algae_electricity_factor/O156</f>
        <v>0.00154725736742263</v>
      </c>
      <c r="AL156" s="220" t="n">
        <f aca="false">Algae_electricity_factor/P156</f>
        <v>0.00146452772870222</v>
      </c>
      <c r="AM156" s="220" t="n">
        <f aca="false">Algae_electricity_factor/Q156</f>
        <v>0.00136467683817118</v>
      </c>
      <c r="AN156" s="220" t="n">
        <f aca="false">Algae_electricity_factor/R156</f>
        <v>0.00125709171857009</v>
      </c>
      <c r="AO156" s="220" t="n">
        <f aca="false">Algae_electricity_factor/S156</f>
        <v>0.00115446331115977</v>
      </c>
      <c r="AP156" s="220" t="n">
        <f aca="false">Algae_electricity_factor/T156</f>
        <v>0.00106732719485602</v>
      </c>
      <c r="AQ156" s="220" t="n">
        <f aca="false">Algae_electricity_factor/U156</f>
        <v>0.00100036762944796</v>
      </c>
      <c r="AR156" s="220" t="n">
        <f aca="false">Algae_electricity_factor/V156</f>
        <v>0.000952750486662952</v>
      </c>
      <c r="AS156" s="220" t="n">
        <f aca="false">Algae_electricity_factor/W156</f>
        <v>0.000920723977624139</v>
      </c>
      <c r="AT156" s="220" t="n">
        <f aca="false">Algae_electricity_factor/X156</f>
        <v>0.000899983020356978</v>
      </c>
      <c r="AU156" s="220" t="n">
        <f aca="false">Algae_electricity_factor/Y156</f>
        <v>0.000886877964299244</v>
      </c>
      <c r="AV156" s="220" t="n">
        <f aca="false">Algae_electricity_factor/Z156</f>
        <v>0.000878726195880279</v>
      </c>
      <c r="AW156" s="220" t="n">
        <f aca="false">Algae_electricity_factor/AA156</f>
        <v>0.000873704802380075</v>
      </c>
      <c r="AX156" s="220" t="n">
        <f aca="false">Algae_electricity_factor/AB156</f>
        <v>0.000870630265761014</v>
      </c>
      <c r="AY156" s="220" t="n">
        <f aca="false">Algae_electricity_factor/AC156</f>
        <v>0.000868754706239142</v>
      </c>
      <c r="AZ156" s="211" t="n">
        <f aca="false">Algae_yield_cost_factor/H156</f>
        <v>0.0958662658963293</v>
      </c>
      <c r="BA156" s="18" t="n">
        <f aca="false">Algae_yield_cost_factor/I156</f>
        <v>0.0958662658963293</v>
      </c>
      <c r="BB156" s="18" t="n">
        <f aca="false">Algae_yield_cost_factor/J156</f>
        <v>0.0958662658963293</v>
      </c>
      <c r="BC156" s="18" t="n">
        <f aca="false">Algae_yield_cost_factor/K156</f>
        <v>0.0958662658963293</v>
      </c>
      <c r="BD156" s="18" t="n">
        <f aca="false">Algae_yield_cost_factor/L156</f>
        <v>0.0958662658963293</v>
      </c>
      <c r="BE156" s="18" t="n">
        <f aca="false">Algae_yield_cost_factor/M156</f>
        <v>0.0915255851046534</v>
      </c>
      <c r="BF156" s="18" t="n">
        <f aca="false">Algae_yield_cost_factor/N156</f>
        <v>0.0891067871923755</v>
      </c>
      <c r="BG156" s="18" t="n">
        <f aca="false">Algae_yield_cost_factor/O156</f>
        <v>0.0856558395354465</v>
      </c>
      <c r="BH156" s="18" t="n">
        <f aca="false">Algae_yield_cost_factor/P156</f>
        <v>0.0810759442909566</v>
      </c>
      <c r="BI156" s="18" t="n">
        <f aca="false">Algae_yield_cost_factor/Q156</f>
        <v>0.0755482201793276</v>
      </c>
      <c r="BJ156" s="18" t="n">
        <f aca="false">Algae_yield_cost_factor/R156</f>
        <v>0.0695923307875688</v>
      </c>
      <c r="BK156" s="18" t="n">
        <f aca="false">Algae_yield_cost_factor/S156</f>
        <v>0.0639108439308862</v>
      </c>
      <c r="BL156" s="18" t="n">
        <f aca="false">Algae_yield_cost_factor/T156</f>
        <v>0.0590870070224289</v>
      </c>
      <c r="BM156" s="18" t="n">
        <f aca="false">Algae_yield_cost_factor/U156</f>
        <v>0.055380139690131</v>
      </c>
      <c r="BN156" s="18" t="n">
        <f aca="false">Algae_yield_cost_factor/V156</f>
        <v>0.0527440647698201</v>
      </c>
      <c r="BO156" s="18" t="n">
        <f aca="false">Algae_yield_cost_factor/W156</f>
        <v>0.0509710840253957</v>
      </c>
      <c r="BP156" s="18" t="n">
        <f aca="false">Algae_yield_cost_factor/X156</f>
        <v>0.0498228690322773</v>
      </c>
      <c r="BQ156" s="18" t="n">
        <f aca="false">Algae_yield_cost_factor/Y156</f>
        <v>0.0490973759097892</v>
      </c>
      <c r="BR156" s="18" t="n">
        <f aca="false">Algae_yield_cost_factor/Z156</f>
        <v>0.048646095739905</v>
      </c>
      <c r="BS156" s="18" t="n">
        <f aca="false">Algae_yield_cost_factor/AA156</f>
        <v>0.0483681124612638</v>
      </c>
      <c r="BT156" s="18" t="n">
        <f aca="false">Algae_yield_cost_factor/AB156</f>
        <v>0.0481979067664435</v>
      </c>
      <c r="BU156" s="18" t="n">
        <f aca="false">Algae_yield_cost_factor/AC156</f>
        <v>0.0480940761893028</v>
      </c>
    </row>
    <row r="157" customFormat="false" ht="15" hidden="false" customHeight="false" outlineLevel="0" collapsed="false">
      <c r="A157" s="18" t="s">
        <v>713</v>
      </c>
      <c r="B157" s="18" t="s">
        <v>22</v>
      </c>
      <c r="C157" s="18" t="s">
        <v>684</v>
      </c>
      <c r="D157" s="18" t="s">
        <v>684</v>
      </c>
      <c r="E157" s="185" t="n">
        <v>8.7615</v>
      </c>
      <c r="F157" s="18" t="n">
        <f aca="false">E157/$B$2*$F$3/1000</f>
        <v>0.021465675</v>
      </c>
      <c r="G157" s="18" t="n">
        <f aca="false">LOOKUP(RIGHT(D157,5),Ref!$C$4:$C$21,Ref!$E$4:$E$21)*$G$3</f>
        <v>3.5</v>
      </c>
      <c r="H157" s="222" t="n">
        <f aca="false">$E157</f>
        <v>8.7615</v>
      </c>
      <c r="I157" s="185" t="n">
        <f aca="false">$E157</f>
        <v>8.7615</v>
      </c>
      <c r="J157" s="185" t="n">
        <f aca="false">$E157</f>
        <v>8.7615</v>
      </c>
      <c r="K157" s="185" t="n">
        <f aca="false">$E157</f>
        <v>8.7615</v>
      </c>
      <c r="L157" s="185" t="n">
        <f aca="false">$E157</f>
        <v>8.7615</v>
      </c>
      <c r="M157" s="185" t="n">
        <f aca="false">M$3*$E157</f>
        <v>9.17702178784525</v>
      </c>
      <c r="N157" s="185" t="n">
        <f aca="false">N$3*$E157</f>
        <v>9.42613144425613</v>
      </c>
      <c r="O157" s="185" t="n">
        <f aca="false">O$3*$E157</f>
        <v>9.80589640129678</v>
      </c>
      <c r="P157" s="185" t="n">
        <f aca="false">P$3*$E157</f>
        <v>10.3598212268294</v>
      </c>
      <c r="Q157" s="185" t="n">
        <f aca="false">Q$3*$E157</f>
        <v>11.1178302633332</v>
      </c>
      <c r="R157" s="185" t="n">
        <f aca="false">R$3*$E157</f>
        <v>12.069322569675</v>
      </c>
      <c r="S157" s="185" t="n">
        <f aca="false">S$3*$E157</f>
        <v>13.14225</v>
      </c>
      <c r="T157" s="185" t="n">
        <f aca="false">T$3*$E157</f>
        <v>14.215177430325</v>
      </c>
      <c r="U157" s="185" t="n">
        <f aca="false">U$3*$E157</f>
        <v>15.1666697366668</v>
      </c>
      <c r="V157" s="185" t="n">
        <f aca="false">V$3*$E157</f>
        <v>15.9246787731706</v>
      </c>
      <c r="W157" s="185" t="n">
        <f aca="false">W$3*$E157</f>
        <v>16.4786035987032</v>
      </c>
      <c r="X157" s="185" t="n">
        <f aca="false">X$3*$E157</f>
        <v>16.8583685557439</v>
      </c>
      <c r="Y157" s="185" t="n">
        <f aca="false">Y$3*$E157</f>
        <v>17.1074782121548</v>
      </c>
      <c r="Z157" s="185" t="n">
        <f aca="false">Z$3*$E157</f>
        <v>17.266180890272</v>
      </c>
      <c r="AA157" s="185" t="n">
        <f aca="false">AA$3*$E157</f>
        <v>17.3654138214171</v>
      </c>
      <c r="AB157" s="185" t="n">
        <f aca="false">AB$3*$E157</f>
        <v>17.4267379021421</v>
      </c>
      <c r="AC157" s="185" t="n">
        <f aca="false">AC$3*$E157</f>
        <v>17.4643605866269</v>
      </c>
      <c r="AD157" s="219" t="n">
        <f aca="false">Algae_electricity_factor/H157</f>
        <v>0.00156863517702782</v>
      </c>
      <c r="AE157" s="220" t="n">
        <f aca="false">Algae_electricity_factor/I157</f>
        <v>0.00156863517702782</v>
      </c>
      <c r="AF157" s="220" t="n">
        <f aca="false">Algae_electricity_factor/J157</f>
        <v>0.00156863517702782</v>
      </c>
      <c r="AG157" s="220" t="n">
        <f aca="false">Algae_electricity_factor/K157</f>
        <v>0.00156863517702782</v>
      </c>
      <c r="AH157" s="220" t="n">
        <f aca="false">Algae_electricity_factor/L157</f>
        <v>0.00156863517702782</v>
      </c>
      <c r="AI157" s="220" t="n">
        <f aca="false">Algae_electricity_factor/M157</f>
        <v>0.00149760972799829</v>
      </c>
      <c r="AJ157" s="220" t="n">
        <f aca="false">Algae_electricity_factor/N157</f>
        <v>0.0014580315567214</v>
      </c>
      <c r="AK157" s="220" t="n">
        <f aca="false">Algae_electricity_factor/O157</f>
        <v>0.0014015645832962</v>
      </c>
      <c r="AL157" s="220" t="n">
        <f aca="false">Algae_electricity_factor/P157</f>
        <v>0.00132662492938939</v>
      </c>
      <c r="AM157" s="220" t="n">
        <f aca="false">Algae_electricity_factor/Q157</f>
        <v>0.00123617619427559</v>
      </c>
      <c r="AN157" s="220" t="n">
        <f aca="false">Algae_electricity_factor/R157</f>
        <v>0.00113872150024899</v>
      </c>
      <c r="AO157" s="220" t="n">
        <f aca="false">Algae_electricity_factor/S157</f>
        <v>0.00104575678468521</v>
      </c>
      <c r="AP157" s="220" t="n">
        <f aca="false">Algae_electricity_factor/T157</f>
        <v>0.000966825575754702</v>
      </c>
      <c r="AQ157" s="220" t="n">
        <f aca="false">Algae_electricity_factor/U157</f>
        <v>0.000906171054170375</v>
      </c>
      <c r="AR157" s="220" t="n">
        <f aca="false">Algae_electricity_factor/V157</f>
        <v>0.00086303763481145</v>
      </c>
      <c r="AS157" s="220" t="n">
        <f aca="false">Algae_electricity_factor/W157</f>
        <v>0.000834026804589851</v>
      </c>
      <c r="AT157" s="220" t="n">
        <f aca="false">Algae_electricity_factor/X157</f>
        <v>0.000815238856481556</v>
      </c>
      <c r="AU157" s="220" t="n">
        <f aca="false">Algae_electricity_factor/Y157</f>
        <v>0.000803367798169372</v>
      </c>
      <c r="AV157" s="220" t="n">
        <f aca="false">Algae_electricity_factor/Z157</f>
        <v>0.000795983616230535</v>
      </c>
      <c r="AW157" s="220" t="n">
        <f aca="false">Algae_electricity_factor/AA157</f>
        <v>0.000791435046977054</v>
      </c>
      <c r="AX157" s="220" t="n">
        <f aca="false">Algae_electricity_factor/AB157</f>
        <v>0.000788650014747736</v>
      </c>
      <c r="AY157" s="220" t="n">
        <f aca="false">Algae_electricity_factor/AC157</f>
        <v>0.000786951061583855</v>
      </c>
      <c r="AZ157" s="211" t="n">
        <f aca="false">Algae_yield_cost_factor/H157</f>
        <v>0.0868393105388595</v>
      </c>
      <c r="BA157" s="18" t="n">
        <f aca="false">Algae_yield_cost_factor/I157</f>
        <v>0.0868393105388595</v>
      </c>
      <c r="BB157" s="18" t="n">
        <f aca="false">Algae_yield_cost_factor/J157</f>
        <v>0.0868393105388595</v>
      </c>
      <c r="BC157" s="18" t="n">
        <f aca="false">Algae_yield_cost_factor/K157</f>
        <v>0.0868393105388595</v>
      </c>
      <c r="BD157" s="18" t="n">
        <f aca="false">Algae_yield_cost_factor/L157</f>
        <v>0.0868393105388595</v>
      </c>
      <c r="BE157" s="18" t="n">
        <f aca="false">Algae_yield_cost_factor/M157</f>
        <v>0.0829073567520496</v>
      </c>
      <c r="BF157" s="18" t="n">
        <f aca="false">Algae_yield_cost_factor/N157</f>
        <v>0.0807163175885736</v>
      </c>
      <c r="BG157" s="18" t="n">
        <f aca="false">Algae_yield_cost_factor/O157</f>
        <v>0.0775903179219393</v>
      </c>
      <c r="BH157" s="18" t="n">
        <f aca="false">Algae_yield_cost_factor/P157</f>
        <v>0.0734416745837102</v>
      </c>
      <c r="BI157" s="18" t="n">
        <f aca="false">Algae_yield_cost_factor/Q157</f>
        <v>0.0684344518008599</v>
      </c>
      <c r="BJ157" s="18" t="n">
        <f aca="false">Algae_yield_cost_factor/R157</f>
        <v>0.0630393806192478</v>
      </c>
      <c r="BK157" s="18" t="n">
        <f aca="false">Algae_yield_cost_factor/S157</f>
        <v>0.057892873692573</v>
      </c>
      <c r="BL157" s="18" t="n">
        <f aca="false">Algae_yield_cost_factor/T157</f>
        <v>0.0535232587152323</v>
      </c>
      <c r="BM157" s="18" t="n">
        <f aca="false">Algae_yield_cost_factor/U157</f>
        <v>0.050165437271098</v>
      </c>
      <c r="BN157" s="18" t="n">
        <f aca="false">Algae_yield_cost_factor/V157</f>
        <v>0.0477775803282174</v>
      </c>
      <c r="BO157" s="18" t="n">
        <f aca="false">Algae_yield_cost_factor/W157</f>
        <v>0.0461715469231927</v>
      </c>
      <c r="BP157" s="18" t="n">
        <f aca="false">Algae_yield_cost_factor/X157</f>
        <v>0.0451314501026844</v>
      </c>
      <c r="BQ157" s="18" t="n">
        <f aca="false">Algae_yield_cost_factor/Y157</f>
        <v>0.0444742708335378</v>
      </c>
      <c r="BR157" s="18" t="n">
        <f aca="false">Algae_yield_cost_factor/Z157</f>
        <v>0.0440654840883132</v>
      </c>
      <c r="BS157" s="18" t="n">
        <f aca="false">Algae_yield_cost_factor/AA157</f>
        <v>0.0438136762596382</v>
      </c>
      <c r="BT157" s="18" t="n">
        <f aca="false">Algae_yield_cost_factor/AB157</f>
        <v>0.0436594974664017</v>
      </c>
      <c r="BU157" s="18" t="n">
        <f aca="false">Algae_yield_cost_factor/AC157</f>
        <v>0.0435654437797639</v>
      </c>
    </row>
    <row r="158" customFormat="false" ht="15" hidden="false" customHeight="false" outlineLevel="0" collapsed="false">
      <c r="A158" s="18" t="s">
        <v>713</v>
      </c>
      <c r="B158" s="18" t="s">
        <v>22</v>
      </c>
      <c r="C158" s="18" t="s">
        <v>685</v>
      </c>
      <c r="D158" s="18" t="s">
        <v>685</v>
      </c>
      <c r="E158" s="185" t="n">
        <v>8.712</v>
      </c>
      <c r="F158" s="18" t="n">
        <f aca="false">E158/$B$2*$F$3/1000</f>
        <v>0.0213444</v>
      </c>
      <c r="G158" s="18" t="n">
        <f aca="false">LOOKUP(RIGHT(D158,5),Ref!$C$4:$C$21,Ref!$E$4:$E$21)*$G$3</f>
        <v>4</v>
      </c>
      <c r="H158" s="222" t="n">
        <f aca="false">$E158</f>
        <v>8.712</v>
      </c>
      <c r="I158" s="185" t="n">
        <f aca="false">$E158</f>
        <v>8.712</v>
      </c>
      <c r="J158" s="185" t="n">
        <f aca="false">$E158</f>
        <v>8.712</v>
      </c>
      <c r="K158" s="185" t="n">
        <f aca="false">$E158</f>
        <v>8.712</v>
      </c>
      <c r="L158" s="185" t="n">
        <f aca="false">$E158</f>
        <v>8.712</v>
      </c>
      <c r="M158" s="185" t="n">
        <f aca="false">M$3*$E158</f>
        <v>9.12517420712296</v>
      </c>
      <c r="N158" s="185" t="n">
        <f aca="false">N$3*$E158</f>
        <v>9.37287646434507</v>
      </c>
      <c r="O158" s="185" t="n">
        <f aca="false">O$3*$E158</f>
        <v>9.75049585665669</v>
      </c>
      <c r="P158" s="185" t="n">
        <f aca="false">P$3*$E158</f>
        <v>10.301291163401</v>
      </c>
      <c r="Q158" s="185" t="n">
        <f aca="false">Q$3*$E158</f>
        <v>11.0550176629754</v>
      </c>
      <c r="R158" s="185" t="n">
        <f aca="false">R$3*$E158</f>
        <v>12.0011343065694</v>
      </c>
      <c r="S158" s="185" t="n">
        <f aca="false">S$3*$E158</f>
        <v>13.068</v>
      </c>
      <c r="T158" s="185" t="n">
        <f aca="false">T$3*$E158</f>
        <v>14.1348656934306</v>
      </c>
      <c r="U158" s="185" t="n">
        <f aca="false">U$3*$E158</f>
        <v>15.0809823370246</v>
      </c>
      <c r="V158" s="185" t="n">
        <f aca="false">V$3*$E158</f>
        <v>15.834708836599</v>
      </c>
      <c r="W158" s="185" t="n">
        <f aca="false">W$3*$E158</f>
        <v>16.3855041433433</v>
      </c>
      <c r="X158" s="185" t="n">
        <f aca="false">X$3*$E158</f>
        <v>16.7631235356549</v>
      </c>
      <c r="Y158" s="185" t="n">
        <f aca="false">Y$3*$E158</f>
        <v>17.010825792877</v>
      </c>
      <c r="Z158" s="185" t="n">
        <f aca="false">Z$3*$E158</f>
        <v>17.1686318456942</v>
      </c>
      <c r="AA158" s="185" t="n">
        <f aca="false">AA$3*$E158</f>
        <v>17.2673041388103</v>
      </c>
      <c r="AB158" s="185" t="n">
        <f aca="false">AB$3*$E158</f>
        <v>17.3282817558023</v>
      </c>
      <c r="AC158" s="185" t="n">
        <f aca="false">AC$3*$E158</f>
        <v>17.3656918827476</v>
      </c>
      <c r="AD158" s="219" t="n">
        <f aca="false">Algae_electricity_factor/H158</f>
        <v>0.0015775478768973</v>
      </c>
      <c r="AE158" s="220" t="n">
        <f aca="false">Algae_electricity_factor/I158</f>
        <v>0.0015775478768973</v>
      </c>
      <c r="AF158" s="220" t="n">
        <f aca="false">Algae_electricity_factor/J158</f>
        <v>0.0015775478768973</v>
      </c>
      <c r="AG158" s="220" t="n">
        <f aca="false">Algae_electricity_factor/K158</f>
        <v>0.0015775478768973</v>
      </c>
      <c r="AH158" s="220" t="n">
        <f aca="false">Algae_electricity_factor/L158</f>
        <v>0.0015775478768973</v>
      </c>
      <c r="AI158" s="220" t="n">
        <f aca="false">Algae_electricity_factor/M158</f>
        <v>0.00150611887418009</v>
      </c>
      <c r="AJ158" s="220" t="n">
        <f aca="false">Algae_electricity_factor/N158</f>
        <v>0.00146631582693004</v>
      </c>
      <c r="AK158" s="220" t="n">
        <f aca="false">Algae_electricity_factor/O158</f>
        <v>0.00140952801842857</v>
      </c>
      <c r="AL158" s="220" t="n">
        <f aca="false">Algae_electricity_factor/P158</f>
        <v>0.00133416257103365</v>
      </c>
      <c r="AM158" s="220" t="n">
        <f aca="false">Algae_electricity_factor/Q158</f>
        <v>0.00124319992265216</v>
      </c>
      <c r="AN158" s="220" t="n">
        <f aca="false">Algae_electricity_factor/R158</f>
        <v>0.00114519150877313</v>
      </c>
      <c r="AO158" s="220" t="n">
        <f aca="false">Algae_electricity_factor/S158</f>
        <v>0.0010516985845982</v>
      </c>
      <c r="AP158" s="220" t="n">
        <f aca="false">Algae_electricity_factor/T158</f>
        <v>0.000972318902889672</v>
      </c>
      <c r="AQ158" s="220" t="n">
        <f aca="false">Algae_electricity_factor/U158</f>
        <v>0.000911319753341797</v>
      </c>
      <c r="AR158" s="220" t="n">
        <f aca="false">Algae_electricity_factor/V158</f>
        <v>0.000867941257736515</v>
      </c>
      <c r="AS158" s="220" t="n">
        <f aca="false">Algae_electricity_factor/W158</f>
        <v>0.000838765593252293</v>
      </c>
      <c r="AT158" s="220" t="n">
        <f aca="false">Algae_electricity_factor/X158</f>
        <v>0.000819870895438838</v>
      </c>
      <c r="AU158" s="220" t="n">
        <f aca="false">Algae_electricity_factor/Y158</f>
        <v>0.000807932387931698</v>
      </c>
      <c r="AV158" s="220" t="n">
        <f aca="false">Algae_electricity_factor/Z158</f>
        <v>0.000800506250413663</v>
      </c>
      <c r="AW158" s="220" t="n">
        <f aca="false">Algae_electricity_factor/AA158</f>
        <v>0.000795931837016697</v>
      </c>
      <c r="AX158" s="220" t="n">
        <f aca="false">Algae_electricity_factor/AB158</f>
        <v>0.000793130980740621</v>
      </c>
      <c r="AY158" s="220" t="n">
        <f aca="false">Algae_electricity_factor/AC158</f>
        <v>0.000791422374433763</v>
      </c>
      <c r="AZ158" s="211" t="n">
        <f aca="false">Algae_yield_cost_factor/H158</f>
        <v>0.0873327157123758</v>
      </c>
      <c r="BA158" s="18" t="n">
        <f aca="false">Algae_yield_cost_factor/I158</f>
        <v>0.0873327157123758</v>
      </c>
      <c r="BB158" s="18" t="n">
        <f aca="false">Algae_yield_cost_factor/J158</f>
        <v>0.0873327157123758</v>
      </c>
      <c r="BC158" s="18" t="n">
        <f aca="false">Algae_yield_cost_factor/K158</f>
        <v>0.0873327157123758</v>
      </c>
      <c r="BD158" s="18" t="n">
        <f aca="false">Algae_yield_cost_factor/L158</f>
        <v>0.0873327157123758</v>
      </c>
      <c r="BE158" s="18" t="n">
        <f aca="false">Algae_yield_cost_factor/M158</f>
        <v>0.0833784212790498</v>
      </c>
      <c r="BF158" s="18" t="n">
        <f aca="false">Algae_yield_cost_factor/N158</f>
        <v>0.0811749330294178</v>
      </c>
      <c r="BG158" s="18" t="n">
        <f aca="false">Algae_yield_cost_factor/O158</f>
        <v>0.0780311720010412</v>
      </c>
      <c r="BH158" s="18" t="n">
        <f aca="false">Algae_yield_cost_factor/P158</f>
        <v>0.0738589568256631</v>
      </c>
      <c r="BI158" s="18" t="n">
        <f aca="false">Algae_yield_cost_factor/Q158</f>
        <v>0.0688232839133647</v>
      </c>
      <c r="BJ158" s="18" t="n">
        <f aca="false">Algae_yield_cost_factor/R158</f>
        <v>0.0633975589182208</v>
      </c>
      <c r="BK158" s="18" t="n">
        <f aca="false">Algae_yield_cost_factor/S158</f>
        <v>0.0582218104749172</v>
      </c>
      <c r="BL158" s="18" t="n">
        <f aca="false">Algae_yield_cost_factor/T158</f>
        <v>0.0538273681397506</v>
      </c>
      <c r="BM158" s="18" t="n">
        <f aca="false">Algae_yield_cost_factor/U158</f>
        <v>0.0504504681646838</v>
      </c>
      <c r="BN158" s="18" t="n">
        <f aca="false">Algae_yield_cost_factor/V158</f>
        <v>0.0480490438528096</v>
      </c>
      <c r="BO158" s="18" t="n">
        <f aca="false">Algae_yield_cost_factor/W158</f>
        <v>0.0464338852579836</v>
      </c>
      <c r="BP158" s="18" t="n">
        <f aca="false">Algae_yield_cost_factor/X158</f>
        <v>0.0453878787964496</v>
      </c>
      <c r="BQ158" s="18" t="n">
        <f aca="false">Algae_yield_cost_factor/Y158</f>
        <v>0.0447269655541829</v>
      </c>
      <c r="BR158" s="18" t="n">
        <f aca="false">Algae_yield_cost_factor/Z158</f>
        <v>0.0443158561569968</v>
      </c>
      <c r="BS158" s="18" t="n">
        <f aca="false">Algae_yield_cost_factor/AA158</f>
        <v>0.0440626176020226</v>
      </c>
      <c r="BT158" s="18" t="n">
        <f aca="false">Algae_yield_cost_factor/AB158</f>
        <v>0.0439075627929153</v>
      </c>
      <c r="BU158" s="18" t="n">
        <f aca="false">Algae_yield_cost_factor/AC158</f>
        <v>0.0438129747103307</v>
      </c>
    </row>
    <row r="159" customFormat="false" ht="15" hidden="false" customHeight="false" outlineLevel="0" collapsed="false">
      <c r="A159" s="18" t="s">
        <v>713</v>
      </c>
      <c r="B159" s="18" t="s">
        <v>22</v>
      </c>
      <c r="C159" s="18" t="s">
        <v>686</v>
      </c>
      <c r="D159" s="18" t="s">
        <v>686</v>
      </c>
      <c r="E159" s="185" t="n">
        <v>8.90175</v>
      </c>
      <c r="F159" s="18" t="n">
        <f aca="false">E159/$B$2*$F$3/1000</f>
        <v>0.0218092875</v>
      </c>
      <c r="G159" s="18" t="n">
        <f aca="false">LOOKUP(RIGHT(D159,5),Ref!$C$4:$C$21,Ref!$E$4:$E$21)*$G$3</f>
        <v>4.5</v>
      </c>
      <c r="H159" s="222" t="n">
        <f aca="false">$E159</f>
        <v>8.90175</v>
      </c>
      <c r="I159" s="185" t="n">
        <f aca="false">$E159</f>
        <v>8.90175</v>
      </c>
      <c r="J159" s="185" t="n">
        <f aca="false">$E159</f>
        <v>8.90175</v>
      </c>
      <c r="K159" s="185" t="n">
        <f aca="false">$E159</f>
        <v>8.90175</v>
      </c>
      <c r="L159" s="185" t="n">
        <f aca="false">$E159</f>
        <v>8.90175</v>
      </c>
      <c r="M159" s="185" t="n">
        <f aca="false">M$3*$E159</f>
        <v>9.3239232665584</v>
      </c>
      <c r="N159" s="185" t="n">
        <f aca="false">N$3*$E159</f>
        <v>9.5770205540041</v>
      </c>
      <c r="O159" s="185" t="n">
        <f aca="false">O$3*$E159</f>
        <v>9.96286461111039</v>
      </c>
      <c r="P159" s="185" t="n">
        <f aca="false">P$3*$E159</f>
        <v>10.5256564065432</v>
      </c>
      <c r="Q159" s="185" t="n">
        <f aca="false">Q$3*$E159</f>
        <v>11.2957992976804</v>
      </c>
      <c r="R159" s="185" t="n">
        <f aca="false">R$3*$E159</f>
        <v>12.2625226484739</v>
      </c>
      <c r="S159" s="185" t="n">
        <f aca="false">S$3*$E159</f>
        <v>13.352625</v>
      </c>
      <c r="T159" s="185" t="n">
        <f aca="false">T$3*$E159</f>
        <v>14.4427273515261</v>
      </c>
      <c r="U159" s="185" t="n">
        <f aca="false">U$3*$E159</f>
        <v>15.4094507023196</v>
      </c>
      <c r="V159" s="185" t="n">
        <f aca="false">V$3*$E159</f>
        <v>16.1795935934568</v>
      </c>
      <c r="W159" s="185" t="n">
        <f aca="false">W$3*$E159</f>
        <v>16.7423853888896</v>
      </c>
      <c r="X159" s="185" t="n">
        <f aca="false">X$3*$E159</f>
        <v>17.1282294459959</v>
      </c>
      <c r="Y159" s="185" t="n">
        <f aca="false">Y$3*$E159</f>
        <v>17.3813267334416</v>
      </c>
      <c r="Z159" s="185" t="n">
        <f aca="false">Z$3*$E159</f>
        <v>17.5425698499091</v>
      </c>
      <c r="AA159" s="185" t="n">
        <f aca="false">AA$3*$E159</f>
        <v>17.64339125547</v>
      </c>
      <c r="AB159" s="185" t="n">
        <f aca="false">AB$3*$E159</f>
        <v>17.7056969834381</v>
      </c>
      <c r="AC159" s="185" t="n">
        <f aca="false">AC$3*$E159</f>
        <v>17.7439219142847</v>
      </c>
      <c r="AD159" s="219" t="n">
        <f aca="false">Algae_electricity_factor/H159</f>
        <v>0.00154392081371969</v>
      </c>
      <c r="AE159" s="220" t="n">
        <f aca="false">Algae_electricity_factor/I159</f>
        <v>0.00154392081371969</v>
      </c>
      <c r="AF159" s="220" t="n">
        <f aca="false">Algae_electricity_factor/J159</f>
        <v>0.00154392081371969</v>
      </c>
      <c r="AG159" s="220" t="n">
        <f aca="false">Algae_electricity_factor/K159</f>
        <v>0.00154392081371969</v>
      </c>
      <c r="AH159" s="220" t="n">
        <f aca="false">Algae_electricity_factor/L159</f>
        <v>0.00154392081371969</v>
      </c>
      <c r="AI159" s="220" t="n">
        <f aca="false">Algae_electricity_factor/M159</f>
        <v>0.00147401439400758</v>
      </c>
      <c r="AJ159" s="220" t="n">
        <f aca="false">Algae_electricity_factor/N159</f>
        <v>0.00143505978984071</v>
      </c>
      <c r="AK159" s="220" t="n">
        <f aca="false">Algae_electricity_factor/O159</f>
        <v>0.00137948247215993</v>
      </c>
      <c r="AL159" s="220" t="n">
        <f aca="false">Algae_electricity_factor/P159</f>
        <v>0.00130572351715619</v>
      </c>
      <c r="AM159" s="220" t="n">
        <f aca="false">Algae_electricity_factor/Q159</f>
        <v>0.0012166998316225</v>
      </c>
      <c r="AN159" s="220" t="n">
        <f aca="false">Algae_electricity_factor/R159</f>
        <v>0.0011207805683637</v>
      </c>
      <c r="AO159" s="220" t="n">
        <f aca="false">Algae_electricity_factor/S159</f>
        <v>0.00102928054247979</v>
      </c>
      <c r="AP159" s="220" t="n">
        <f aca="false">Algae_electricity_factor/T159</f>
        <v>0.000951592920715008</v>
      </c>
      <c r="AQ159" s="220" t="n">
        <f aca="false">Algae_electricity_factor/U159</f>
        <v>0.000891894031074085</v>
      </c>
      <c r="AR159" s="220" t="n">
        <f aca="false">Algae_electricity_factor/V159</f>
        <v>0.000849440192928415</v>
      </c>
      <c r="AS159" s="220" t="n">
        <f aca="false">Algae_electricity_factor/W159</f>
        <v>0.000820886437881762</v>
      </c>
      <c r="AT159" s="220" t="n">
        <f aca="false">Algae_electricity_factor/X159</f>
        <v>0.000802394500077306</v>
      </c>
      <c r="AU159" s="220" t="n">
        <f aca="false">Algae_electricity_factor/Y159</f>
        <v>0.000790710474194507</v>
      </c>
      <c r="AV159" s="220" t="n">
        <f aca="false">Algae_electricity_factor/Z159</f>
        <v>0.000783442632471574</v>
      </c>
      <c r="AW159" s="220" t="n">
        <f aca="false">Algae_electricity_factor/AA159</f>
        <v>0.000778965727423199</v>
      </c>
      <c r="AX159" s="220" t="n">
        <f aca="false">Algae_electricity_factor/AB159</f>
        <v>0.000776224574292952</v>
      </c>
      <c r="AY159" s="220" t="n">
        <f aca="false">Algae_electricity_factor/AC159</f>
        <v>0.000774552388695138</v>
      </c>
      <c r="AZ159" s="211" t="n">
        <f aca="false">Algae_yield_cost_factor/H159</f>
        <v>0.0854711286304623</v>
      </c>
      <c r="BA159" s="18" t="n">
        <f aca="false">Algae_yield_cost_factor/I159</f>
        <v>0.0854711286304623</v>
      </c>
      <c r="BB159" s="18" t="n">
        <f aca="false">Algae_yield_cost_factor/J159</f>
        <v>0.0854711286304623</v>
      </c>
      <c r="BC159" s="18" t="n">
        <f aca="false">Algae_yield_cost_factor/K159</f>
        <v>0.0854711286304623</v>
      </c>
      <c r="BD159" s="18" t="n">
        <f aca="false">Algae_yield_cost_factor/L159</f>
        <v>0.0854711286304623</v>
      </c>
      <c r="BE159" s="18" t="n">
        <f aca="false">Algae_yield_cost_factor/M159</f>
        <v>0.0816011240692091</v>
      </c>
      <c r="BF159" s="18" t="n">
        <f aca="false">Algae_yield_cost_factor/N159</f>
        <v>0.0794446054486239</v>
      </c>
      <c r="BG159" s="18" t="n">
        <f aca="false">Algae_yield_cost_factor/O159</f>
        <v>0.0763678569352174</v>
      </c>
      <c r="BH159" s="18" t="n">
        <f aca="false">Algae_yield_cost_factor/P159</f>
        <v>0.0722845768377204</v>
      </c>
      <c r="BI159" s="18" t="n">
        <f aca="false">Algae_yield_cost_factor/Q159</f>
        <v>0.0673562444972318</v>
      </c>
      <c r="BJ159" s="18" t="n">
        <f aca="false">Algae_yield_cost_factor/R159</f>
        <v>0.0620461744371096</v>
      </c>
      <c r="BK159" s="18" t="n">
        <f aca="false">Algae_yield_cost_factor/S159</f>
        <v>0.0569807524203082</v>
      </c>
      <c r="BL159" s="18" t="n">
        <f aca="false">Algae_yield_cost_factor/T159</f>
        <v>0.0526799821645752</v>
      </c>
      <c r="BM159" s="18" t="n">
        <f aca="false">Algae_yield_cost_factor/U159</f>
        <v>0.0493750643020445</v>
      </c>
      <c r="BN159" s="18" t="n">
        <f aca="false">Algae_yield_cost_factor/V159</f>
        <v>0.0470248288309239</v>
      </c>
      <c r="BO159" s="18" t="n">
        <f aca="false">Algae_yield_cost_factor/W159</f>
        <v>0.0454440990105938</v>
      </c>
      <c r="BP159" s="18" t="n">
        <f aca="false">Algae_yield_cost_factor/X159</f>
        <v>0.044420389257693</v>
      </c>
      <c r="BQ159" s="18" t="n">
        <f aca="false">Algae_yield_cost_factor/Y159</f>
        <v>0.0437735640641494</v>
      </c>
      <c r="BR159" s="18" t="n">
        <f aca="false">Algae_yield_cost_factor/Z159</f>
        <v>0.04337121788859</v>
      </c>
      <c r="BS159" s="18" t="n">
        <f aca="false">Algae_yield_cost_factor/AA159</f>
        <v>0.0431233773751027</v>
      </c>
      <c r="BT159" s="18" t="n">
        <f aca="false">Algae_yield_cost_factor/AB159</f>
        <v>0.0429716277194797</v>
      </c>
      <c r="BU159" s="18" t="n">
        <f aca="false">Algae_yield_cost_factor/AC159</f>
        <v>0.0428790558796193</v>
      </c>
    </row>
    <row r="160" customFormat="false" ht="15" hidden="false" customHeight="false" outlineLevel="0" collapsed="false">
      <c r="A160" s="18" t="s">
        <v>713</v>
      </c>
      <c r="B160" s="18" t="s">
        <v>22</v>
      </c>
      <c r="C160" s="18" t="s">
        <v>687</v>
      </c>
      <c r="D160" s="18" t="s">
        <v>687</v>
      </c>
      <c r="E160" s="185" t="n">
        <v>8.019</v>
      </c>
      <c r="F160" s="18" t="n">
        <f aca="false">E160/$B$2*$F$3/1000</f>
        <v>0.01964655</v>
      </c>
      <c r="G160" s="18" t="n">
        <f aca="false">LOOKUP(RIGHT(D160,5),Ref!$C$4:$C$21,Ref!$E$4:$E$21)*$G$3</f>
        <v>4.5</v>
      </c>
      <c r="H160" s="222" t="n">
        <f aca="false">$E160</f>
        <v>8.019</v>
      </c>
      <c r="I160" s="185" t="n">
        <f aca="false">$E160</f>
        <v>8.019</v>
      </c>
      <c r="J160" s="185" t="n">
        <f aca="false">$E160</f>
        <v>8.019</v>
      </c>
      <c r="K160" s="185" t="n">
        <f aca="false">$E160</f>
        <v>8.019</v>
      </c>
      <c r="L160" s="185" t="n">
        <f aca="false">$E160</f>
        <v>8.019</v>
      </c>
      <c r="M160" s="185" t="n">
        <f aca="false">M$3*$E160</f>
        <v>8.39930807701091</v>
      </c>
      <c r="N160" s="185" t="n">
        <f aca="false">N$3*$E160</f>
        <v>8.62730674559035</v>
      </c>
      <c r="O160" s="185" t="n">
        <f aca="false">O$3*$E160</f>
        <v>8.97488823169536</v>
      </c>
      <c r="P160" s="185" t="n">
        <f aca="false">P$3*$E160</f>
        <v>9.48187027540317</v>
      </c>
      <c r="Q160" s="185" t="n">
        <f aca="false">Q$3*$E160</f>
        <v>10.175641257966</v>
      </c>
      <c r="R160" s="185" t="n">
        <f aca="false">R$3*$E160</f>
        <v>11.0464986230923</v>
      </c>
      <c r="S160" s="185" t="n">
        <f aca="false">S$3*$E160</f>
        <v>12.0285</v>
      </c>
      <c r="T160" s="185" t="n">
        <f aca="false">T$3*$E160</f>
        <v>13.0105013769077</v>
      </c>
      <c r="U160" s="185" t="n">
        <f aca="false">U$3*$E160</f>
        <v>13.881358742034</v>
      </c>
      <c r="V160" s="185" t="n">
        <f aca="false">V$3*$E160</f>
        <v>14.5751297245968</v>
      </c>
      <c r="W160" s="185" t="n">
        <f aca="false">W$3*$E160</f>
        <v>15.0821117683046</v>
      </c>
      <c r="X160" s="185" t="n">
        <f aca="false">X$3*$E160</f>
        <v>15.4296932544096</v>
      </c>
      <c r="Y160" s="185" t="n">
        <f aca="false">Y$3*$E160</f>
        <v>15.6576919229891</v>
      </c>
      <c r="Z160" s="185" t="n">
        <f aca="false">Z$3*$E160</f>
        <v>15.8029452216049</v>
      </c>
      <c r="AA160" s="185" t="n">
        <f aca="false">AA$3*$E160</f>
        <v>15.893768582314</v>
      </c>
      <c r="AB160" s="185" t="n">
        <f aca="false">AB$3*$E160</f>
        <v>15.9498957070453</v>
      </c>
      <c r="AC160" s="185" t="n">
        <f aca="false">AC$3*$E160</f>
        <v>15.9843300284382</v>
      </c>
      <c r="AD160" s="219" t="n">
        <f aca="false">Algae_electricity_factor/H160</f>
        <v>0.00171387917490077</v>
      </c>
      <c r="AE160" s="220" t="n">
        <f aca="false">Algae_electricity_factor/I160</f>
        <v>0.00171387917490077</v>
      </c>
      <c r="AF160" s="220" t="n">
        <f aca="false">Algae_electricity_factor/J160</f>
        <v>0.00171387917490077</v>
      </c>
      <c r="AG160" s="220" t="n">
        <f aca="false">Algae_electricity_factor/K160</f>
        <v>0.00171387917490077</v>
      </c>
      <c r="AH160" s="220" t="n">
        <f aca="false">Algae_electricity_factor/L160</f>
        <v>0.00171387917490077</v>
      </c>
      <c r="AI160" s="220" t="n">
        <f aca="false">Algae_electricity_factor/M160</f>
        <v>0.00163627729540553</v>
      </c>
      <c r="AJ160" s="220" t="n">
        <f aca="false">Algae_electricity_factor/N160</f>
        <v>0.00159303447864004</v>
      </c>
      <c r="AK160" s="220" t="n">
        <f aca="false">Algae_electricity_factor/O160</f>
        <v>0.00153133908174955</v>
      </c>
      <c r="AL160" s="220" t="n">
        <f aca="false">Algae_electricity_factor/P160</f>
        <v>0.00144946057099952</v>
      </c>
      <c r="AM160" s="220" t="n">
        <f aca="false">Algae_electricity_factor/Q160</f>
        <v>0.00135063695300481</v>
      </c>
      <c r="AN160" s="220" t="n">
        <f aca="false">Algae_electricity_factor/R160</f>
        <v>0.00124415867619797</v>
      </c>
      <c r="AO160" s="220" t="n">
        <f aca="false">Algae_electricity_factor/S160</f>
        <v>0.00114258611660051</v>
      </c>
      <c r="AP160" s="220" t="n">
        <f aca="false">Algae_electricity_factor/T160</f>
        <v>0.00105634646239866</v>
      </c>
      <c r="AQ160" s="220" t="n">
        <f aca="false">Algae_electricity_factor/U160</f>
        <v>0.000990075781408372</v>
      </c>
      <c r="AR160" s="220" t="n">
        <f aca="false">Algae_electricity_factor/V160</f>
        <v>0.000942948526923621</v>
      </c>
      <c r="AS160" s="220" t="n">
        <f aca="false">Algae_electricity_factor/W160</f>
        <v>0.000911251508718541</v>
      </c>
      <c r="AT160" s="220" t="n">
        <f aca="false">Algae_electricity_factor/X160</f>
        <v>0.000890723935785404</v>
      </c>
      <c r="AU160" s="220" t="n">
        <f aca="false">Algae_electricity_factor/Y160</f>
        <v>0.000877753705407276</v>
      </c>
      <c r="AV160" s="220" t="n">
        <f aca="false">Algae_electricity_factor/Z160</f>
        <v>0.000869685802918547</v>
      </c>
      <c r="AW160" s="220" t="n">
        <f aca="false">Algae_electricity_factor/AA160</f>
        <v>0.0008647160698453</v>
      </c>
      <c r="AX160" s="220" t="n">
        <f aca="false">Algae_electricity_factor/AB160</f>
        <v>0.000861673164261415</v>
      </c>
      <c r="AY160" s="220" t="n">
        <f aca="false">Algae_electricity_factor/AC160</f>
        <v>0.000859816900619397</v>
      </c>
      <c r="AZ160" s="211" t="n">
        <f aca="false">Algae_yield_cost_factor/H160</f>
        <v>0.0948799874406058</v>
      </c>
      <c r="BA160" s="18" t="n">
        <f aca="false">Algae_yield_cost_factor/I160</f>
        <v>0.0948799874406058</v>
      </c>
      <c r="BB160" s="18" t="n">
        <f aca="false">Algae_yield_cost_factor/J160</f>
        <v>0.0948799874406058</v>
      </c>
      <c r="BC160" s="18" t="n">
        <f aca="false">Algae_yield_cost_factor/K160</f>
        <v>0.0948799874406058</v>
      </c>
      <c r="BD160" s="18" t="n">
        <f aca="false">Algae_yield_cost_factor/L160</f>
        <v>0.0948799874406058</v>
      </c>
      <c r="BE160" s="18" t="n">
        <f aca="false">Algae_yield_cost_factor/M160</f>
        <v>0.0905839638587208</v>
      </c>
      <c r="BF160" s="18" t="n">
        <f aca="false">Algae_yield_cost_factor/N160</f>
        <v>0.0881900506986268</v>
      </c>
      <c r="BG160" s="18" t="n">
        <f aca="false">Algae_yield_cost_factor/O160</f>
        <v>0.0847746066184151</v>
      </c>
      <c r="BH160" s="18" t="n">
        <f aca="false">Algae_yield_cost_factor/P160</f>
        <v>0.0802418296377575</v>
      </c>
      <c r="BI160" s="18" t="n">
        <f aca="false">Algae_yield_cost_factor/Q160</f>
        <v>0.0747709751157543</v>
      </c>
      <c r="BJ160" s="18" t="n">
        <f aca="false">Algae_yield_cost_factor/R160</f>
        <v>0.0688763603062152</v>
      </c>
      <c r="BK160" s="18" t="n">
        <f aca="false">Algae_yield_cost_factor/S160</f>
        <v>0.0632533249604039</v>
      </c>
      <c r="BL160" s="18" t="n">
        <f aca="false">Algae_yield_cost_factor/T160</f>
        <v>0.0584791160036797</v>
      </c>
      <c r="BM160" s="18" t="n">
        <f aca="false">Algae_yield_cost_factor/U160</f>
        <v>0.05481038516657</v>
      </c>
      <c r="BN160" s="18" t="n">
        <f aca="false">Algae_yield_cost_factor/V160</f>
        <v>0.0522014303586079</v>
      </c>
      <c r="BO160" s="18" t="n">
        <f aca="false">Algae_yield_cost_factor/W160</f>
        <v>0.0504466901568217</v>
      </c>
      <c r="BP160" s="18" t="n">
        <f aca="false">Algae_yield_cost_factor/X160</f>
        <v>0.0493102880751551</v>
      </c>
      <c r="BQ160" s="18" t="n">
        <f aca="false">Algae_yield_cost_factor/Y160</f>
        <v>0.0485922588736802</v>
      </c>
      <c r="BR160" s="18" t="n">
        <f aca="false">Algae_yield_cost_factor/Z160</f>
        <v>0.0481456215038978</v>
      </c>
      <c r="BS160" s="18" t="n">
        <f aca="false">Algae_yield_cost_factor/AA160</f>
        <v>0.0478704981355307</v>
      </c>
      <c r="BT160" s="18" t="n">
        <f aca="false">Algae_yield_cost_factor/AB160</f>
        <v>0.0477020435281056</v>
      </c>
      <c r="BU160" s="18" t="n">
        <f aca="false">Algae_yield_cost_factor/AC160</f>
        <v>0.0475992811667791</v>
      </c>
    </row>
    <row r="161" customFormat="false" ht="15" hidden="false" customHeight="false" outlineLevel="0" collapsed="false">
      <c r="A161" s="18" t="s">
        <v>713</v>
      </c>
      <c r="B161" s="18" t="s">
        <v>22</v>
      </c>
      <c r="C161" s="18" t="s">
        <v>688</v>
      </c>
      <c r="D161" s="18" t="s">
        <v>688</v>
      </c>
      <c r="E161" s="185" t="n">
        <v>8.50575</v>
      </c>
      <c r="F161" s="18" t="n">
        <f aca="false">E161/$B$2*$F$3/1000</f>
        <v>0.0208390875</v>
      </c>
      <c r="G161" s="18" t="n">
        <f aca="false">LOOKUP(RIGHT(D161,5),Ref!$C$4:$C$21,Ref!$E$4:$E$21)*$G$3</f>
        <v>4.5</v>
      </c>
      <c r="H161" s="222" t="n">
        <f aca="false">$E161</f>
        <v>8.50575</v>
      </c>
      <c r="I161" s="185" t="n">
        <f aca="false">$E161</f>
        <v>8.50575</v>
      </c>
      <c r="J161" s="185" t="n">
        <f aca="false">$E161</f>
        <v>8.50575</v>
      </c>
      <c r="K161" s="185" t="n">
        <f aca="false">$E161</f>
        <v>8.50575</v>
      </c>
      <c r="L161" s="185" t="n">
        <f aca="false">$E161</f>
        <v>8.50575</v>
      </c>
      <c r="M161" s="185" t="n">
        <f aca="false">M$3*$E161</f>
        <v>8.90914262078009</v>
      </c>
      <c r="N161" s="185" t="n">
        <f aca="false">N$3*$E161</f>
        <v>9.15098071471569</v>
      </c>
      <c r="O161" s="185" t="n">
        <f aca="false">O$3*$E161</f>
        <v>9.51966025398963</v>
      </c>
      <c r="P161" s="185" t="n">
        <f aca="false">P$3*$E161</f>
        <v>10.0574158991159</v>
      </c>
      <c r="Q161" s="185" t="n">
        <f aca="false">Q$3*$E161</f>
        <v>10.7932984948178</v>
      </c>
      <c r="R161" s="185" t="n">
        <f aca="false">R$3*$E161</f>
        <v>11.7170165436298</v>
      </c>
      <c r="S161" s="185" t="n">
        <f aca="false">S$3*$E161</f>
        <v>12.758625</v>
      </c>
      <c r="T161" s="185" t="n">
        <f aca="false">T$3*$E161</f>
        <v>13.8002334563702</v>
      </c>
      <c r="U161" s="185" t="n">
        <f aca="false">U$3*$E161</f>
        <v>14.7239515051822</v>
      </c>
      <c r="V161" s="185" t="n">
        <f aca="false">V$3*$E161</f>
        <v>15.4598341008841</v>
      </c>
      <c r="W161" s="185" t="n">
        <f aca="false">W$3*$E161</f>
        <v>15.9975897460104</v>
      </c>
      <c r="X161" s="185" t="n">
        <f aca="false">X$3*$E161</f>
        <v>16.3662692852843</v>
      </c>
      <c r="Y161" s="185" t="n">
        <f aca="false">Y$3*$E161</f>
        <v>16.6081073792199</v>
      </c>
      <c r="Z161" s="185" t="n">
        <f aca="false">Z$3*$E161</f>
        <v>16.7621774932867</v>
      </c>
      <c r="AA161" s="185" t="n">
        <f aca="false">AA$3*$E161</f>
        <v>16.8585137946149</v>
      </c>
      <c r="AB161" s="185" t="n">
        <f aca="false">AB$3*$E161</f>
        <v>16.9180478127198</v>
      </c>
      <c r="AC161" s="185" t="n">
        <f aca="false">AC$3*$E161</f>
        <v>16.9545722832508</v>
      </c>
      <c r="AD161" s="219" t="n">
        <f aca="false">Algae_electricity_factor/H161</f>
        <v>0.00161580073521198</v>
      </c>
      <c r="AE161" s="220" t="n">
        <f aca="false">Algae_electricity_factor/I161</f>
        <v>0.00161580073521198</v>
      </c>
      <c r="AF161" s="220" t="n">
        <f aca="false">Algae_electricity_factor/J161</f>
        <v>0.00161580073521198</v>
      </c>
      <c r="AG161" s="220" t="n">
        <f aca="false">Algae_electricity_factor/K161</f>
        <v>0.00161580073521198</v>
      </c>
      <c r="AH161" s="220" t="n">
        <f aca="false">Algae_electricity_factor/L161</f>
        <v>0.00161580073521198</v>
      </c>
      <c r="AI161" s="220" t="n">
        <f aca="false">Algae_electricity_factor/M161</f>
        <v>0.00154263970042112</v>
      </c>
      <c r="AJ161" s="220" t="n">
        <f aca="false">Algae_electricity_factor/N161</f>
        <v>0.0015018714968362</v>
      </c>
      <c r="AK161" s="220" t="n">
        <f aca="false">Algae_electricity_factor/O161</f>
        <v>0.00144370668036912</v>
      </c>
      <c r="AL161" s="220" t="n">
        <f aca="false">Algae_electricity_factor/P161</f>
        <v>0.00136651374879877</v>
      </c>
      <c r="AM161" s="220" t="n">
        <f aca="false">Algae_electricity_factor/Q161</f>
        <v>0.00127334541059232</v>
      </c>
      <c r="AN161" s="220" t="n">
        <f aca="false">Algae_electricity_factor/R161</f>
        <v>0.00117296045903436</v>
      </c>
      <c r="AO161" s="220" t="n">
        <f aca="false">Algae_electricity_factor/S161</f>
        <v>0.00107720049014132</v>
      </c>
      <c r="AP161" s="220" t="n">
        <f aca="false">Algae_electricity_factor/T161</f>
        <v>0.000995895985888937</v>
      </c>
      <c r="AQ161" s="220" t="n">
        <f aca="false">Algae_electricity_factor/U161</f>
        <v>0.000933417710503334</v>
      </c>
      <c r="AR161" s="220" t="n">
        <f aca="false">Algae_electricity_factor/V161</f>
        <v>0.000888987360009466</v>
      </c>
      <c r="AS161" s="220" t="n">
        <f aca="false">Algae_electricity_factor/W161</f>
        <v>0.000859104235183726</v>
      </c>
      <c r="AT161" s="220" t="n">
        <f aca="false">Algae_electricity_factor/X161</f>
        <v>0.000839751373019799</v>
      </c>
      <c r="AU161" s="220" t="n">
        <f aca="false">Algae_electricity_factor/Y161</f>
        <v>0.000827523376969809</v>
      </c>
      <c r="AV161" s="220" t="n">
        <f aca="false">Algae_electricity_factor/Z161</f>
        <v>0.000819917168221948</v>
      </c>
      <c r="AW161" s="220" t="n">
        <f aca="false">Algae_electricity_factor/AA161</f>
        <v>0.000815231833064628</v>
      </c>
      <c r="AX161" s="220" t="n">
        <f aca="false">Algae_electricity_factor/AB161</f>
        <v>0.000812363060777978</v>
      </c>
      <c r="AY161" s="220" t="n">
        <f aca="false">Algae_electricity_factor/AC161</f>
        <v>0.000810613023668336</v>
      </c>
      <c r="AZ161" s="211" t="n">
        <f aca="false">Algae_yield_cost_factor/H161</f>
        <v>0.0894503858314926</v>
      </c>
      <c r="BA161" s="18" t="n">
        <f aca="false">Algae_yield_cost_factor/I161</f>
        <v>0.0894503858314926</v>
      </c>
      <c r="BB161" s="18" t="n">
        <f aca="false">Algae_yield_cost_factor/J161</f>
        <v>0.0894503858314926</v>
      </c>
      <c r="BC161" s="18" t="n">
        <f aca="false">Algae_yield_cost_factor/K161</f>
        <v>0.0894503858314926</v>
      </c>
      <c r="BD161" s="18" t="n">
        <f aca="false">Algae_yield_cost_factor/L161</f>
        <v>0.0894503858314926</v>
      </c>
      <c r="BE161" s="18" t="n">
        <f aca="false">Algae_yield_cost_factor/M161</f>
        <v>0.0854002064701034</v>
      </c>
      <c r="BF161" s="18" t="n">
        <f aca="false">Algae_yield_cost_factor/N161</f>
        <v>0.0831432873705773</v>
      </c>
      <c r="BG161" s="18" t="n">
        <f aca="false">Algae_yield_cost_factor/O161</f>
        <v>0.0799232954734234</v>
      </c>
      <c r="BH161" s="18" t="n">
        <f aca="false">Algae_yield_cost_factor/P161</f>
        <v>0.0756499111618819</v>
      </c>
      <c r="BI161" s="18" t="n">
        <f aca="false">Algae_yield_cost_factor/Q161</f>
        <v>0.0704921317289168</v>
      </c>
      <c r="BJ161" s="18" t="n">
        <f aca="false">Algae_yield_cost_factor/R161</f>
        <v>0.0649348421121641</v>
      </c>
      <c r="BK161" s="18" t="n">
        <f aca="false">Algae_yield_cost_factor/S161</f>
        <v>0.0596335905543284</v>
      </c>
      <c r="BL161" s="18" t="n">
        <f aca="false">Algae_yield_cost_factor/T161</f>
        <v>0.0551325904515777</v>
      </c>
      <c r="BM161" s="18" t="n">
        <f aca="false">Algae_yield_cost_factor/U161</f>
        <v>0.051673806384002</v>
      </c>
      <c r="BN161" s="18" t="n">
        <f aca="false">Algae_yield_cost_factor/V161</f>
        <v>0.0492141516086973</v>
      </c>
      <c r="BO161" s="18" t="n">
        <f aca="false">Algae_yield_cost_factor/W161</f>
        <v>0.0475598281594866</v>
      </c>
      <c r="BP161" s="18" t="n">
        <f aca="false">Algae_yield_cost_factor/X161</f>
        <v>0.0464884578167321</v>
      </c>
      <c r="BQ161" s="18" t="n">
        <f aca="false">Algae_yield_cost_factor/Y161</f>
        <v>0.0458115185501621</v>
      </c>
      <c r="BR161" s="18" t="n">
        <f aca="false">Algae_yield_cost_factor/Z161</f>
        <v>0.0453904404479036</v>
      </c>
      <c r="BS161" s="18" t="n">
        <f aca="false">Algae_yield_cost_factor/AA161</f>
        <v>0.0451310612878136</v>
      </c>
      <c r="BT161" s="18" t="n">
        <f aca="false">Algae_yield_cost_factor/AB161</f>
        <v>0.0449722466627727</v>
      </c>
      <c r="BU161" s="18" t="n">
        <f aca="false">Algae_yield_cost_factor/AC161</f>
        <v>0.0448753649797374</v>
      </c>
    </row>
    <row r="162" customFormat="false" ht="15" hidden="false" customHeight="false" outlineLevel="0" collapsed="false">
      <c r="A162" s="18" t="s">
        <v>746</v>
      </c>
      <c r="B162" s="18" t="s">
        <v>22</v>
      </c>
      <c r="C162" s="18" t="s">
        <v>683</v>
      </c>
      <c r="D162" s="18" t="s">
        <v>683</v>
      </c>
      <c r="E162" s="185" t="n">
        <v>1</v>
      </c>
      <c r="F162" s="18" t="n">
        <f aca="false">E162/$B$2*$F$3/1000</f>
        <v>0.00245</v>
      </c>
      <c r="G162" s="18" t="n">
        <f aca="false">LOOKUP(RIGHT(D162,5),Ref!$C$4:$C$21,Ref!$E$4:$E$21)*$G$3</f>
        <v>3</v>
      </c>
      <c r="H162" s="222" t="n">
        <f aca="false">$E162</f>
        <v>1</v>
      </c>
      <c r="I162" s="185" t="n">
        <f aca="false">$E162</f>
        <v>1</v>
      </c>
      <c r="J162" s="185" t="n">
        <f aca="false">$E162</f>
        <v>1</v>
      </c>
      <c r="K162" s="185" t="n">
        <f aca="false">$E162</f>
        <v>1</v>
      </c>
      <c r="L162" s="185" t="n">
        <f aca="false">$E162</f>
        <v>1</v>
      </c>
      <c r="M162" s="185" t="n">
        <f aca="false">M$3*$E162</f>
        <v>1.04742587317757</v>
      </c>
      <c r="N162" s="185" t="n">
        <f aca="false">N$3*$E162</f>
        <v>1.07585818002124</v>
      </c>
      <c r="O162" s="185" t="n">
        <f aca="false">O$3*$E162</f>
        <v>1.11920292202212</v>
      </c>
      <c r="P162" s="185" t="n">
        <f aca="false">P$3*$E162</f>
        <v>1.18242552380636</v>
      </c>
      <c r="Q162" s="185" t="n">
        <f aca="false">Q$3*$E162</f>
        <v>1.26894142137</v>
      </c>
      <c r="R162" s="185" t="n">
        <f aca="false">R$3*$E162</f>
        <v>1.37754066879815</v>
      </c>
      <c r="S162" s="185" t="n">
        <f aca="false">S$3*$E162</f>
        <v>1.5</v>
      </c>
      <c r="T162" s="185" t="n">
        <f aca="false">T$3*$E162</f>
        <v>1.62245933120185</v>
      </c>
      <c r="U162" s="185" t="n">
        <f aca="false">U$3*$E162</f>
        <v>1.73105857863</v>
      </c>
      <c r="V162" s="185" t="n">
        <f aca="false">V$3*$E162</f>
        <v>1.81757447619364</v>
      </c>
      <c r="W162" s="185" t="n">
        <f aca="false">W$3*$E162</f>
        <v>1.88079707797788</v>
      </c>
      <c r="X162" s="185" t="n">
        <f aca="false">X$3*$E162</f>
        <v>1.92414181997876</v>
      </c>
      <c r="Y162" s="185" t="n">
        <f aca="false">Y$3*$E162</f>
        <v>1.95257412682243</v>
      </c>
      <c r="Z162" s="185" t="n">
        <f aca="false">Z$3*$E162</f>
        <v>1.97068776924864</v>
      </c>
      <c r="AA162" s="185" t="n">
        <f aca="false">AA$3*$E162</f>
        <v>1.98201379003791</v>
      </c>
      <c r="AB162" s="185" t="n">
        <f aca="false">AB$3*$E162</f>
        <v>1.98901305736941</v>
      </c>
      <c r="AC162" s="185" t="n">
        <f aca="false">AC$3*$E162</f>
        <v>1.99330714907572</v>
      </c>
      <c r="AD162" s="219" t="n">
        <f aca="false">Algae_electricity_factor/H162</f>
        <v>0.0137435971035293</v>
      </c>
      <c r="AE162" s="220" t="n">
        <f aca="false">Algae_electricity_factor/I162</f>
        <v>0.0137435971035293</v>
      </c>
      <c r="AF162" s="220" t="n">
        <f aca="false">Algae_electricity_factor/J162</f>
        <v>0.0137435971035293</v>
      </c>
      <c r="AG162" s="220" t="n">
        <f aca="false">Algae_electricity_factor/K162</f>
        <v>0.0137435971035293</v>
      </c>
      <c r="AH162" s="220" t="n">
        <f aca="false">Algae_electricity_factor/L162</f>
        <v>0.0137435971035293</v>
      </c>
      <c r="AI162" s="220" t="n">
        <f aca="false">Algae_electricity_factor/M162</f>
        <v>0.013121307631857</v>
      </c>
      <c r="AJ162" s="220" t="n">
        <f aca="false">Algae_electricity_factor/N162</f>
        <v>0.0127745434842145</v>
      </c>
      <c r="AK162" s="220" t="n">
        <f aca="false">Algae_electricity_factor/O162</f>
        <v>0.0122798080965497</v>
      </c>
      <c r="AL162" s="220" t="n">
        <f aca="false">Algae_electricity_factor/P162</f>
        <v>0.0116232243188452</v>
      </c>
      <c r="AM162" s="220" t="n">
        <f aca="false">Algae_electricity_factor/Q162</f>
        <v>0.0108307577261456</v>
      </c>
      <c r="AN162" s="220" t="n">
        <f aca="false">Algae_electricity_factor/R162</f>
        <v>0.00997690842443153</v>
      </c>
      <c r="AO162" s="220" t="n">
        <f aca="false">Algae_electricity_factor/S162</f>
        <v>0.00916239806901951</v>
      </c>
      <c r="AP162" s="220" t="n">
        <f aca="false">Algae_electricity_factor/T162</f>
        <v>0.00847084228197482</v>
      </c>
      <c r="AQ162" s="220" t="n">
        <f aca="false">Algae_electricity_factor/U162</f>
        <v>0.00793941769111374</v>
      </c>
      <c r="AR162" s="220" t="n">
        <f aca="false">Algae_electricity_factor/V162</f>
        <v>0.00756150423740052</v>
      </c>
      <c r="AS162" s="220" t="n">
        <f aca="false">Algae_electricity_factor/W162</f>
        <v>0.00730732584841398</v>
      </c>
      <c r="AT162" s="220" t="n">
        <f aca="false">Algae_electricity_factor/X162</f>
        <v>0.00714271524106315</v>
      </c>
      <c r="AU162" s="220" t="n">
        <f aca="false">Algae_electricity_factor/Y162</f>
        <v>0.00703870696366095</v>
      </c>
      <c r="AV162" s="220" t="n">
        <f aca="false">Algae_electricity_factor/Z162</f>
        <v>0.00697401045360383</v>
      </c>
      <c r="AW162" s="220" t="n">
        <f aca="false">Algae_electricity_factor/AA162</f>
        <v>0.00693415816408946</v>
      </c>
      <c r="AX162" s="220" t="n">
        <f aca="false">Algae_electricity_factor/AB162</f>
        <v>0.00690975710421229</v>
      </c>
      <c r="AY162" s="220" t="n">
        <f aca="false">Algae_electricity_factor/AC162</f>
        <v>0.00689487172606695</v>
      </c>
      <c r="AZ162" s="211" t="n">
        <f aca="false">Algae_yield_cost_factor/H162</f>
        <v>0.760842619286218</v>
      </c>
      <c r="BA162" s="18" t="n">
        <f aca="false">Algae_yield_cost_factor/I162</f>
        <v>0.760842619286218</v>
      </c>
      <c r="BB162" s="18" t="n">
        <f aca="false">Algae_yield_cost_factor/J162</f>
        <v>0.760842619286218</v>
      </c>
      <c r="BC162" s="18" t="n">
        <f aca="false">Algae_yield_cost_factor/K162</f>
        <v>0.760842619286218</v>
      </c>
      <c r="BD162" s="18" t="n">
        <f aca="false">Algae_yield_cost_factor/L162</f>
        <v>0.760842619286218</v>
      </c>
      <c r="BE162" s="18" t="n">
        <f aca="false">Algae_yield_cost_factor/M162</f>
        <v>0.726392806183082</v>
      </c>
      <c r="BF162" s="18" t="n">
        <f aca="false">Algae_yield_cost_factor/N162</f>
        <v>0.707196016552288</v>
      </c>
      <c r="BG162" s="18" t="n">
        <f aca="false">Algae_yield_cost_factor/O162</f>
        <v>0.679807570473071</v>
      </c>
      <c r="BH162" s="18" t="n">
        <f aca="false">Algae_yield_cost_factor/P162</f>
        <v>0.643459231865177</v>
      </c>
      <c r="BI162" s="18" t="n">
        <f aca="false">Algae_yield_cost_factor/Q162</f>
        <v>0.599588449453234</v>
      </c>
      <c r="BJ162" s="18" t="n">
        <f aca="false">Algae_yield_cost_factor/R162</f>
        <v>0.55231953329554</v>
      </c>
      <c r="BK162" s="18" t="n">
        <f aca="false">Algae_yield_cost_factor/S162</f>
        <v>0.507228412857479</v>
      </c>
      <c r="BL162" s="18" t="n">
        <f aca="false">Algae_yield_cost_factor/T162</f>
        <v>0.468944031233507</v>
      </c>
      <c r="BM162" s="18" t="n">
        <f aca="false">Algae_yield_cost_factor/U162</f>
        <v>0.439524478650725</v>
      </c>
      <c r="BN162" s="18" t="n">
        <f aca="false">Algae_yield_cost_factor/V162</f>
        <v>0.418603270045677</v>
      </c>
      <c r="BO162" s="18" t="n">
        <f aca="false">Algae_yield_cost_factor/W162</f>
        <v>0.404532008367553</v>
      </c>
      <c r="BP162" s="18" t="n">
        <f aca="false">Algae_yield_cost_factor/X162</f>
        <v>0.395419200074669</v>
      </c>
      <c r="BQ162" s="18" t="n">
        <f aca="false">Algae_yield_cost_factor/Y162</f>
        <v>0.389661323908042</v>
      </c>
      <c r="BR162" s="18" t="n">
        <f aca="false">Algae_yield_cost_factor/Z162</f>
        <v>0.386079738839756</v>
      </c>
      <c r="BS162" s="18" t="n">
        <f aca="false">Algae_yield_cost_factor/AA162</f>
        <v>0.38387352454882</v>
      </c>
      <c r="BT162" s="18" t="n">
        <f aca="false">Algae_yield_cost_factor/AB162</f>
        <v>0.382522687051879</v>
      </c>
      <c r="BU162" s="18" t="n">
        <f aca="false">Algae_yield_cost_factor/AC162</f>
        <v>0.381698635676401</v>
      </c>
    </row>
    <row r="163" customFormat="false" ht="15" hidden="false" customHeight="false" outlineLevel="0" collapsed="false">
      <c r="A163" s="18" t="s">
        <v>746</v>
      </c>
      <c r="B163" s="18" t="s">
        <v>22</v>
      </c>
      <c r="C163" s="18" t="s">
        <v>684</v>
      </c>
      <c r="D163" s="18" t="s">
        <v>684</v>
      </c>
      <c r="E163" s="185" t="n">
        <v>1</v>
      </c>
      <c r="F163" s="18" t="n">
        <f aca="false">E163/$B$2*$F$3/1000</f>
        <v>0.00245</v>
      </c>
      <c r="G163" s="18" t="n">
        <f aca="false">LOOKUP(RIGHT(D163,5),Ref!$C$4:$C$21,Ref!$E$4:$E$21)*$G$3</f>
        <v>3.5</v>
      </c>
      <c r="H163" s="222" t="n">
        <f aca="false">$E163</f>
        <v>1</v>
      </c>
      <c r="I163" s="185" t="n">
        <f aca="false">$E163</f>
        <v>1</v>
      </c>
      <c r="J163" s="185" t="n">
        <f aca="false">$E163</f>
        <v>1</v>
      </c>
      <c r="K163" s="185" t="n">
        <f aca="false">$E163</f>
        <v>1</v>
      </c>
      <c r="L163" s="185" t="n">
        <f aca="false">$E163</f>
        <v>1</v>
      </c>
      <c r="M163" s="185" t="n">
        <f aca="false">M$3*$E163</f>
        <v>1.04742587317757</v>
      </c>
      <c r="N163" s="185" t="n">
        <f aca="false">N$3*$E163</f>
        <v>1.07585818002124</v>
      </c>
      <c r="O163" s="185" t="n">
        <f aca="false">O$3*$E163</f>
        <v>1.11920292202212</v>
      </c>
      <c r="P163" s="185" t="n">
        <f aca="false">P$3*$E163</f>
        <v>1.18242552380636</v>
      </c>
      <c r="Q163" s="185" t="n">
        <f aca="false">Q$3*$E163</f>
        <v>1.26894142137</v>
      </c>
      <c r="R163" s="185" t="n">
        <f aca="false">R$3*$E163</f>
        <v>1.37754066879815</v>
      </c>
      <c r="S163" s="185" t="n">
        <f aca="false">S$3*$E163</f>
        <v>1.5</v>
      </c>
      <c r="T163" s="185" t="n">
        <f aca="false">T$3*$E163</f>
        <v>1.62245933120185</v>
      </c>
      <c r="U163" s="185" t="n">
        <f aca="false">U$3*$E163</f>
        <v>1.73105857863</v>
      </c>
      <c r="V163" s="185" t="n">
        <f aca="false">V$3*$E163</f>
        <v>1.81757447619364</v>
      </c>
      <c r="W163" s="185" t="n">
        <f aca="false">W$3*$E163</f>
        <v>1.88079707797788</v>
      </c>
      <c r="X163" s="185" t="n">
        <f aca="false">X$3*$E163</f>
        <v>1.92414181997876</v>
      </c>
      <c r="Y163" s="185" t="n">
        <f aca="false">Y$3*$E163</f>
        <v>1.95257412682243</v>
      </c>
      <c r="Z163" s="185" t="n">
        <f aca="false">Z$3*$E163</f>
        <v>1.97068776924864</v>
      </c>
      <c r="AA163" s="185" t="n">
        <f aca="false">AA$3*$E163</f>
        <v>1.98201379003791</v>
      </c>
      <c r="AB163" s="185" t="n">
        <f aca="false">AB$3*$E163</f>
        <v>1.98901305736941</v>
      </c>
      <c r="AC163" s="185" t="n">
        <f aca="false">AC$3*$E163</f>
        <v>1.99330714907572</v>
      </c>
      <c r="AD163" s="219" t="n">
        <f aca="false">Algae_electricity_factor/H163</f>
        <v>0.0137435971035293</v>
      </c>
      <c r="AE163" s="220" t="n">
        <f aca="false">Algae_electricity_factor/I163</f>
        <v>0.0137435971035293</v>
      </c>
      <c r="AF163" s="220" t="n">
        <f aca="false">Algae_electricity_factor/J163</f>
        <v>0.0137435971035293</v>
      </c>
      <c r="AG163" s="220" t="n">
        <f aca="false">Algae_electricity_factor/K163</f>
        <v>0.0137435971035293</v>
      </c>
      <c r="AH163" s="220" t="n">
        <f aca="false">Algae_electricity_factor/L163</f>
        <v>0.0137435971035293</v>
      </c>
      <c r="AI163" s="220" t="n">
        <f aca="false">Algae_electricity_factor/M163</f>
        <v>0.013121307631857</v>
      </c>
      <c r="AJ163" s="220" t="n">
        <f aca="false">Algae_electricity_factor/N163</f>
        <v>0.0127745434842145</v>
      </c>
      <c r="AK163" s="220" t="n">
        <f aca="false">Algae_electricity_factor/O163</f>
        <v>0.0122798080965497</v>
      </c>
      <c r="AL163" s="220" t="n">
        <f aca="false">Algae_electricity_factor/P163</f>
        <v>0.0116232243188452</v>
      </c>
      <c r="AM163" s="220" t="n">
        <f aca="false">Algae_electricity_factor/Q163</f>
        <v>0.0108307577261456</v>
      </c>
      <c r="AN163" s="220" t="n">
        <f aca="false">Algae_electricity_factor/R163</f>
        <v>0.00997690842443153</v>
      </c>
      <c r="AO163" s="220" t="n">
        <f aca="false">Algae_electricity_factor/S163</f>
        <v>0.00916239806901951</v>
      </c>
      <c r="AP163" s="220" t="n">
        <f aca="false">Algae_electricity_factor/T163</f>
        <v>0.00847084228197482</v>
      </c>
      <c r="AQ163" s="220" t="n">
        <f aca="false">Algae_electricity_factor/U163</f>
        <v>0.00793941769111374</v>
      </c>
      <c r="AR163" s="220" t="n">
        <f aca="false">Algae_electricity_factor/V163</f>
        <v>0.00756150423740052</v>
      </c>
      <c r="AS163" s="220" t="n">
        <f aca="false">Algae_electricity_factor/W163</f>
        <v>0.00730732584841398</v>
      </c>
      <c r="AT163" s="220" t="n">
        <f aca="false">Algae_electricity_factor/X163</f>
        <v>0.00714271524106315</v>
      </c>
      <c r="AU163" s="220" t="n">
        <f aca="false">Algae_electricity_factor/Y163</f>
        <v>0.00703870696366095</v>
      </c>
      <c r="AV163" s="220" t="n">
        <f aca="false">Algae_electricity_factor/Z163</f>
        <v>0.00697401045360383</v>
      </c>
      <c r="AW163" s="220" t="n">
        <f aca="false">Algae_electricity_factor/AA163</f>
        <v>0.00693415816408946</v>
      </c>
      <c r="AX163" s="220" t="n">
        <f aca="false">Algae_electricity_factor/AB163</f>
        <v>0.00690975710421229</v>
      </c>
      <c r="AY163" s="220" t="n">
        <f aca="false">Algae_electricity_factor/AC163</f>
        <v>0.00689487172606695</v>
      </c>
      <c r="AZ163" s="211" t="n">
        <f aca="false">Algae_yield_cost_factor/H163</f>
        <v>0.760842619286218</v>
      </c>
      <c r="BA163" s="18" t="n">
        <f aca="false">Algae_yield_cost_factor/I163</f>
        <v>0.760842619286218</v>
      </c>
      <c r="BB163" s="18" t="n">
        <f aca="false">Algae_yield_cost_factor/J163</f>
        <v>0.760842619286218</v>
      </c>
      <c r="BC163" s="18" t="n">
        <f aca="false">Algae_yield_cost_factor/K163</f>
        <v>0.760842619286218</v>
      </c>
      <c r="BD163" s="18" t="n">
        <f aca="false">Algae_yield_cost_factor/L163</f>
        <v>0.760842619286218</v>
      </c>
      <c r="BE163" s="18" t="n">
        <f aca="false">Algae_yield_cost_factor/M163</f>
        <v>0.726392806183082</v>
      </c>
      <c r="BF163" s="18" t="n">
        <f aca="false">Algae_yield_cost_factor/N163</f>
        <v>0.707196016552288</v>
      </c>
      <c r="BG163" s="18" t="n">
        <f aca="false">Algae_yield_cost_factor/O163</f>
        <v>0.679807570473071</v>
      </c>
      <c r="BH163" s="18" t="n">
        <f aca="false">Algae_yield_cost_factor/P163</f>
        <v>0.643459231865177</v>
      </c>
      <c r="BI163" s="18" t="n">
        <f aca="false">Algae_yield_cost_factor/Q163</f>
        <v>0.599588449453234</v>
      </c>
      <c r="BJ163" s="18" t="n">
        <f aca="false">Algae_yield_cost_factor/R163</f>
        <v>0.55231953329554</v>
      </c>
      <c r="BK163" s="18" t="n">
        <f aca="false">Algae_yield_cost_factor/S163</f>
        <v>0.507228412857479</v>
      </c>
      <c r="BL163" s="18" t="n">
        <f aca="false">Algae_yield_cost_factor/T163</f>
        <v>0.468944031233507</v>
      </c>
      <c r="BM163" s="18" t="n">
        <f aca="false">Algae_yield_cost_factor/U163</f>
        <v>0.439524478650725</v>
      </c>
      <c r="BN163" s="18" t="n">
        <f aca="false">Algae_yield_cost_factor/V163</f>
        <v>0.418603270045677</v>
      </c>
      <c r="BO163" s="18" t="n">
        <f aca="false">Algae_yield_cost_factor/W163</f>
        <v>0.404532008367553</v>
      </c>
      <c r="BP163" s="18" t="n">
        <f aca="false">Algae_yield_cost_factor/X163</f>
        <v>0.395419200074669</v>
      </c>
      <c r="BQ163" s="18" t="n">
        <f aca="false">Algae_yield_cost_factor/Y163</f>
        <v>0.389661323908042</v>
      </c>
      <c r="BR163" s="18" t="n">
        <f aca="false">Algae_yield_cost_factor/Z163</f>
        <v>0.386079738839756</v>
      </c>
      <c r="BS163" s="18" t="n">
        <f aca="false">Algae_yield_cost_factor/AA163</f>
        <v>0.38387352454882</v>
      </c>
      <c r="BT163" s="18" t="n">
        <f aca="false">Algae_yield_cost_factor/AB163</f>
        <v>0.382522687051879</v>
      </c>
      <c r="BU163" s="18" t="n">
        <f aca="false">Algae_yield_cost_factor/AC163</f>
        <v>0.381698635676401</v>
      </c>
    </row>
    <row r="164" customFormat="false" ht="15" hidden="false" customHeight="false" outlineLevel="0" collapsed="false">
      <c r="A164" s="18" t="s">
        <v>746</v>
      </c>
      <c r="B164" s="18" t="s">
        <v>22</v>
      </c>
      <c r="C164" s="18" t="s">
        <v>685</v>
      </c>
      <c r="D164" s="18" t="s">
        <v>685</v>
      </c>
      <c r="E164" s="185" t="n">
        <v>1</v>
      </c>
      <c r="F164" s="18" t="n">
        <f aca="false">E164/$B$2*$F$3/1000</f>
        <v>0.00245</v>
      </c>
      <c r="G164" s="18" t="n">
        <f aca="false">LOOKUP(RIGHT(D164,5),Ref!$C$4:$C$21,Ref!$E$4:$E$21)*$G$3</f>
        <v>4</v>
      </c>
      <c r="H164" s="222" t="n">
        <f aca="false">$E164</f>
        <v>1</v>
      </c>
      <c r="I164" s="185" t="n">
        <f aca="false">$E164</f>
        <v>1</v>
      </c>
      <c r="J164" s="185" t="n">
        <f aca="false">$E164</f>
        <v>1</v>
      </c>
      <c r="K164" s="185" t="n">
        <f aca="false">$E164</f>
        <v>1</v>
      </c>
      <c r="L164" s="185" t="n">
        <f aca="false">$E164</f>
        <v>1</v>
      </c>
      <c r="M164" s="185" t="n">
        <f aca="false">M$3*$E164</f>
        <v>1.04742587317757</v>
      </c>
      <c r="N164" s="185" t="n">
        <f aca="false">N$3*$E164</f>
        <v>1.07585818002124</v>
      </c>
      <c r="O164" s="185" t="n">
        <f aca="false">O$3*$E164</f>
        <v>1.11920292202212</v>
      </c>
      <c r="P164" s="185" t="n">
        <f aca="false">P$3*$E164</f>
        <v>1.18242552380636</v>
      </c>
      <c r="Q164" s="185" t="n">
        <f aca="false">Q$3*$E164</f>
        <v>1.26894142137</v>
      </c>
      <c r="R164" s="185" t="n">
        <f aca="false">R$3*$E164</f>
        <v>1.37754066879815</v>
      </c>
      <c r="S164" s="185" t="n">
        <f aca="false">S$3*$E164</f>
        <v>1.5</v>
      </c>
      <c r="T164" s="185" t="n">
        <f aca="false">T$3*$E164</f>
        <v>1.62245933120185</v>
      </c>
      <c r="U164" s="185" t="n">
        <f aca="false">U$3*$E164</f>
        <v>1.73105857863</v>
      </c>
      <c r="V164" s="185" t="n">
        <f aca="false">V$3*$E164</f>
        <v>1.81757447619364</v>
      </c>
      <c r="W164" s="185" t="n">
        <f aca="false">W$3*$E164</f>
        <v>1.88079707797788</v>
      </c>
      <c r="X164" s="185" t="n">
        <f aca="false">X$3*$E164</f>
        <v>1.92414181997876</v>
      </c>
      <c r="Y164" s="185" t="n">
        <f aca="false">Y$3*$E164</f>
        <v>1.95257412682243</v>
      </c>
      <c r="Z164" s="185" t="n">
        <f aca="false">Z$3*$E164</f>
        <v>1.97068776924864</v>
      </c>
      <c r="AA164" s="185" t="n">
        <f aca="false">AA$3*$E164</f>
        <v>1.98201379003791</v>
      </c>
      <c r="AB164" s="185" t="n">
        <f aca="false">AB$3*$E164</f>
        <v>1.98901305736941</v>
      </c>
      <c r="AC164" s="185" t="n">
        <f aca="false">AC$3*$E164</f>
        <v>1.99330714907572</v>
      </c>
      <c r="AD164" s="219" t="n">
        <f aca="false">Algae_electricity_factor/H164</f>
        <v>0.0137435971035293</v>
      </c>
      <c r="AE164" s="220" t="n">
        <f aca="false">Algae_electricity_factor/I164</f>
        <v>0.0137435971035293</v>
      </c>
      <c r="AF164" s="220" t="n">
        <f aca="false">Algae_electricity_factor/J164</f>
        <v>0.0137435971035293</v>
      </c>
      <c r="AG164" s="220" t="n">
        <f aca="false">Algae_electricity_factor/K164</f>
        <v>0.0137435971035293</v>
      </c>
      <c r="AH164" s="220" t="n">
        <f aca="false">Algae_electricity_factor/L164</f>
        <v>0.0137435971035293</v>
      </c>
      <c r="AI164" s="220" t="n">
        <f aca="false">Algae_electricity_factor/M164</f>
        <v>0.013121307631857</v>
      </c>
      <c r="AJ164" s="220" t="n">
        <f aca="false">Algae_electricity_factor/N164</f>
        <v>0.0127745434842145</v>
      </c>
      <c r="AK164" s="220" t="n">
        <f aca="false">Algae_electricity_factor/O164</f>
        <v>0.0122798080965497</v>
      </c>
      <c r="AL164" s="220" t="n">
        <f aca="false">Algae_electricity_factor/P164</f>
        <v>0.0116232243188452</v>
      </c>
      <c r="AM164" s="220" t="n">
        <f aca="false">Algae_electricity_factor/Q164</f>
        <v>0.0108307577261456</v>
      </c>
      <c r="AN164" s="220" t="n">
        <f aca="false">Algae_electricity_factor/R164</f>
        <v>0.00997690842443153</v>
      </c>
      <c r="AO164" s="220" t="n">
        <f aca="false">Algae_electricity_factor/S164</f>
        <v>0.00916239806901951</v>
      </c>
      <c r="AP164" s="220" t="n">
        <f aca="false">Algae_electricity_factor/T164</f>
        <v>0.00847084228197482</v>
      </c>
      <c r="AQ164" s="220" t="n">
        <f aca="false">Algae_electricity_factor/U164</f>
        <v>0.00793941769111374</v>
      </c>
      <c r="AR164" s="220" t="n">
        <f aca="false">Algae_electricity_factor/V164</f>
        <v>0.00756150423740052</v>
      </c>
      <c r="AS164" s="220" t="n">
        <f aca="false">Algae_electricity_factor/W164</f>
        <v>0.00730732584841398</v>
      </c>
      <c r="AT164" s="220" t="n">
        <f aca="false">Algae_electricity_factor/X164</f>
        <v>0.00714271524106315</v>
      </c>
      <c r="AU164" s="220" t="n">
        <f aca="false">Algae_electricity_factor/Y164</f>
        <v>0.00703870696366095</v>
      </c>
      <c r="AV164" s="220" t="n">
        <f aca="false">Algae_electricity_factor/Z164</f>
        <v>0.00697401045360383</v>
      </c>
      <c r="AW164" s="220" t="n">
        <f aca="false">Algae_electricity_factor/AA164</f>
        <v>0.00693415816408946</v>
      </c>
      <c r="AX164" s="220" t="n">
        <f aca="false">Algae_electricity_factor/AB164</f>
        <v>0.00690975710421229</v>
      </c>
      <c r="AY164" s="220" t="n">
        <f aca="false">Algae_electricity_factor/AC164</f>
        <v>0.00689487172606695</v>
      </c>
      <c r="AZ164" s="211" t="n">
        <f aca="false">Algae_yield_cost_factor/H164</f>
        <v>0.760842619286218</v>
      </c>
      <c r="BA164" s="18" t="n">
        <f aca="false">Algae_yield_cost_factor/I164</f>
        <v>0.760842619286218</v>
      </c>
      <c r="BB164" s="18" t="n">
        <f aca="false">Algae_yield_cost_factor/J164</f>
        <v>0.760842619286218</v>
      </c>
      <c r="BC164" s="18" t="n">
        <f aca="false">Algae_yield_cost_factor/K164</f>
        <v>0.760842619286218</v>
      </c>
      <c r="BD164" s="18" t="n">
        <f aca="false">Algae_yield_cost_factor/L164</f>
        <v>0.760842619286218</v>
      </c>
      <c r="BE164" s="18" t="n">
        <f aca="false">Algae_yield_cost_factor/M164</f>
        <v>0.726392806183082</v>
      </c>
      <c r="BF164" s="18" t="n">
        <f aca="false">Algae_yield_cost_factor/N164</f>
        <v>0.707196016552288</v>
      </c>
      <c r="BG164" s="18" t="n">
        <f aca="false">Algae_yield_cost_factor/O164</f>
        <v>0.679807570473071</v>
      </c>
      <c r="BH164" s="18" t="n">
        <f aca="false">Algae_yield_cost_factor/P164</f>
        <v>0.643459231865177</v>
      </c>
      <c r="BI164" s="18" t="n">
        <f aca="false">Algae_yield_cost_factor/Q164</f>
        <v>0.599588449453234</v>
      </c>
      <c r="BJ164" s="18" t="n">
        <f aca="false">Algae_yield_cost_factor/R164</f>
        <v>0.55231953329554</v>
      </c>
      <c r="BK164" s="18" t="n">
        <f aca="false">Algae_yield_cost_factor/S164</f>
        <v>0.507228412857479</v>
      </c>
      <c r="BL164" s="18" t="n">
        <f aca="false">Algae_yield_cost_factor/T164</f>
        <v>0.468944031233507</v>
      </c>
      <c r="BM164" s="18" t="n">
        <f aca="false">Algae_yield_cost_factor/U164</f>
        <v>0.439524478650725</v>
      </c>
      <c r="BN164" s="18" t="n">
        <f aca="false">Algae_yield_cost_factor/V164</f>
        <v>0.418603270045677</v>
      </c>
      <c r="BO164" s="18" t="n">
        <f aca="false">Algae_yield_cost_factor/W164</f>
        <v>0.404532008367553</v>
      </c>
      <c r="BP164" s="18" t="n">
        <f aca="false">Algae_yield_cost_factor/X164</f>
        <v>0.395419200074669</v>
      </c>
      <c r="BQ164" s="18" t="n">
        <f aca="false">Algae_yield_cost_factor/Y164</f>
        <v>0.389661323908042</v>
      </c>
      <c r="BR164" s="18" t="n">
        <f aca="false">Algae_yield_cost_factor/Z164</f>
        <v>0.386079738839756</v>
      </c>
      <c r="BS164" s="18" t="n">
        <f aca="false">Algae_yield_cost_factor/AA164</f>
        <v>0.38387352454882</v>
      </c>
      <c r="BT164" s="18" t="n">
        <f aca="false">Algae_yield_cost_factor/AB164</f>
        <v>0.382522687051879</v>
      </c>
      <c r="BU164" s="18" t="n">
        <f aca="false">Algae_yield_cost_factor/AC164</f>
        <v>0.381698635676401</v>
      </c>
    </row>
    <row r="165" customFormat="false" ht="15" hidden="false" customHeight="false" outlineLevel="0" collapsed="false">
      <c r="A165" s="18" t="s">
        <v>746</v>
      </c>
      <c r="B165" s="18" t="s">
        <v>22</v>
      </c>
      <c r="C165" s="18" t="s">
        <v>686</v>
      </c>
      <c r="D165" s="18" t="s">
        <v>686</v>
      </c>
      <c r="E165" s="185" t="n">
        <v>1</v>
      </c>
      <c r="F165" s="18" t="n">
        <f aca="false">E165/$B$2*$F$3/1000</f>
        <v>0.00245</v>
      </c>
      <c r="G165" s="18" t="n">
        <f aca="false">LOOKUP(RIGHT(D165,5),Ref!$C$4:$C$21,Ref!$E$4:$E$21)*$G$3</f>
        <v>4.5</v>
      </c>
      <c r="H165" s="222" t="n">
        <f aca="false">$E165</f>
        <v>1</v>
      </c>
      <c r="I165" s="185" t="n">
        <f aca="false">$E165</f>
        <v>1</v>
      </c>
      <c r="J165" s="185" t="n">
        <f aca="false">$E165</f>
        <v>1</v>
      </c>
      <c r="K165" s="185" t="n">
        <f aca="false">$E165</f>
        <v>1</v>
      </c>
      <c r="L165" s="185" t="n">
        <f aca="false">$E165</f>
        <v>1</v>
      </c>
      <c r="M165" s="185" t="n">
        <f aca="false">M$3*$E165</f>
        <v>1.04742587317757</v>
      </c>
      <c r="N165" s="185" t="n">
        <f aca="false">N$3*$E165</f>
        <v>1.07585818002124</v>
      </c>
      <c r="O165" s="185" t="n">
        <f aca="false">O$3*$E165</f>
        <v>1.11920292202212</v>
      </c>
      <c r="P165" s="185" t="n">
        <f aca="false">P$3*$E165</f>
        <v>1.18242552380636</v>
      </c>
      <c r="Q165" s="185" t="n">
        <f aca="false">Q$3*$E165</f>
        <v>1.26894142137</v>
      </c>
      <c r="R165" s="185" t="n">
        <f aca="false">R$3*$E165</f>
        <v>1.37754066879815</v>
      </c>
      <c r="S165" s="185" t="n">
        <f aca="false">S$3*$E165</f>
        <v>1.5</v>
      </c>
      <c r="T165" s="185" t="n">
        <f aca="false">T$3*$E165</f>
        <v>1.62245933120185</v>
      </c>
      <c r="U165" s="185" t="n">
        <f aca="false">U$3*$E165</f>
        <v>1.73105857863</v>
      </c>
      <c r="V165" s="185" t="n">
        <f aca="false">V$3*$E165</f>
        <v>1.81757447619364</v>
      </c>
      <c r="W165" s="185" t="n">
        <f aca="false">W$3*$E165</f>
        <v>1.88079707797788</v>
      </c>
      <c r="X165" s="185" t="n">
        <f aca="false">X$3*$E165</f>
        <v>1.92414181997876</v>
      </c>
      <c r="Y165" s="185" t="n">
        <f aca="false">Y$3*$E165</f>
        <v>1.95257412682243</v>
      </c>
      <c r="Z165" s="185" t="n">
        <f aca="false">Z$3*$E165</f>
        <v>1.97068776924864</v>
      </c>
      <c r="AA165" s="185" t="n">
        <f aca="false">AA$3*$E165</f>
        <v>1.98201379003791</v>
      </c>
      <c r="AB165" s="185" t="n">
        <f aca="false">AB$3*$E165</f>
        <v>1.98901305736941</v>
      </c>
      <c r="AC165" s="185" t="n">
        <f aca="false">AC$3*$E165</f>
        <v>1.99330714907572</v>
      </c>
      <c r="AD165" s="219" t="n">
        <f aca="false">Algae_electricity_factor/H165</f>
        <v>0.0137435971035293</v>
      </c>
      <c r="AE165" s="220" t="n">
        <f aca="false">Algae_electricity_factor/I165</f>
        <v>0.0137435971035293</v>
      </c>
      <c r="AF165" s="220" t="n">
        <f aca="false">Algae_electricity_factor/J165</f>
        <v>0.0137435971035293</v>
      </c>
      <c r="AG165" s="220" t="n">
        <f aca="false">Algae_electricity_factor/K165</f>
        <v>0.0137435971035293</v>
      </c>
      <c r="AH165" s="220" t="n">
        <f aca="false">Algae_electricity_factor/L165</f>
        <v>0.0137435971035293</v>
      </c>
      <c r="AI165" s="220" t="n">
        <f aca="false">Algae_electricity_factor/M165</f>
        <v>0.013121307631857</v>
      </c>
      <c r="AJ165" s="220" t="n">
        <f aca="false">Algae_electricity_factor/N165</f>
        <v>0.0127745434842145</v>
      </c>
      <c r="AK165" s="220" t="n">
        <f aca="false">Algae_electricity_factor/O165</f>
        <v>0.0122798080965497</v>
      </c>
      <c r="AL165" s="220" t="n">
        <f aca="false">Algae_electricity_factor/P165</f>
        <v>0.0116232243188452</v>
      </c>
      <c r="AM165" s="220" t="n">
        <f aca="false">Algae_electricity_factor/Q165</f>
        <v>0.0108307577261456</v>
      </c>
      <c r="AN165" s="220" t="n">
        <f aca="false">Algae_electricity_factor/R165</f>
        <v>0.00997690842443153</v>
      </c>
      <c r="AO165" s="220" t="n">
        <f aca="false">Algae_electricity_factor/S165</f>
        <v>0.00916239806901951</v>
      </c>
      <c r="AP165" s="220" t="n">
        <f aca="false">Algae_electricity_factor/T165</f>
        <v>0.00847084228197482</v>
      </c>
      <c r="AQ165" s="220" t="n">
        <f aca="false">Algae_electricity_factor/U165</f>
        <v>0.00793941769111374</v>
      </c>
      <c r="AR165" s="220" t="n">
        <f aca="false">Algae_electricity_factor/V165</f>
        <v>0.00756150423740052</v>
      </c>
      <c r="AS165" s="220" t="n">
        <f aca="false">Algae_electricity_factor/W165</f>
        <v>0.00730732584841398</v>
      </c>
      <c r="AT165" s="220" t="n">
        <f aca="false">Algae_electricity_factor/X165</f>
        <v>0.00714271524106315</v>
      </c>
      <c r="AU165" s="220" t="n">
        <f aca="false">Algae_electricity_factor/Y165</f>
        <v>0.00703870696366095</v>
      </c>
      <c r="AV165" s="220" t="n">
        <f aca="false">Algae_electricity_factor/Z165</f>
        <v>0.00697401045360383</v>
      </c>
      <c r="AW165" s="220" t="n">
        <f aca="false">Algae_electricity_factor/AA165</f>
        <v>0.00693415816408946</v>
      </c>
      <c r="AX165" s="220" t="n">
        <f aca="false">Algae_electricity_factor/AB165</f>
        <v>0.00690975710421229</v>
      </c>
      <c r="AY165" s="220" t="n">
        <f aca="false">Algae_electricity_factor/AC165</f>
        <v>0.00689487172606695</v>
      </c>
      <c r="AZ165" s="211" t="n">
        <f aca="false">Algae_yield_cost_factor/H165</f>
        <v>0.760842619286218</v>
      </c>
      <c r="BA165" s="18" t="n">
        <f aca="false">Algae_yield_cost_factor/I165</f>
        <v>0.760842619286218</v>
      </c>
      <c r="BB165" s="18" t="n">
        <f aca="false">Algae_yield_cost_factor/J165</f>
        <v>0.760842619286218</v>
      </c>
      <c r="BC165" s="18" t="n">
        <f aca="false">Algae_yield_cost_factor/K165</f>
        <v>0.760842619286218</v>
      </c>
      <c r="BD165" s="18" t="n">
        <f aca="false">Algae_yield_cost_factor/L165</f>
        <v>0.760842619286218</v>
      </c>
      <c r="BE165" s="18" t="n">
        <f aca="false">Algae_yield_cost_factor/M165</f>
        <v>0.726392806183082</v>
      </c>
      <c r="BF165" s="18" t="n">
        <f aca="false">Algae_yield_cost_factor/N165</f>
        <v>0.707196016552288</v>
      </c>
      <c r="BG165" s="18" t="n">
        <f aca="false">Algae_yield_cost_factor/O165</f>
        <v>0.679807570473071</v>
      </c>
      <c r="BH165" s="18" t="n">
        <f aca="false">Algae_yield_cost_factor/P165</f>
        <v>0.643459231865177</v>
      </c>
      <c r="BI165" s="18" t="n">
        <f aca="false">Algae_yield_cost_factor/Q165</f>
        <v>0.599588449453234</v>
      </c>
      <c r="BJ165" s="18" t="n">
        <f aca="false">Algae_yield_cost_factor/R165</f>
        <v>0.55231953329554</v>
      </c>
      <c r="BK165" s="18" t="n">
        <f aca="false">Algae_yield_cost_factor/S165</f>
        <v>0.507228412857479</v>
      </c>
      <c r="BL165" s="18" t="n">
        <f aca="false">Algae_yield_cost_factor/T165</f>
        <v>0.468944031233507</v>
      </c>
      <c r="BM165" s="18" t="n">
        <f aca="false">Algae_yield_cost_factor/U165</f>
        <v>0.439524478650725</v>
      </c>
      <c r="BN165" s="18" t="n">
        <f aca="false">Algae_yield_cost_factor/V165</f>
        <v>0.418603270045677</v>
      </c>
      <c r="BO165" s="18" t="n">
        <f aca="false">Algae_yield_cost_factor/W165</f>
        <v>0.404532008367553</v>
      </c>
      <c r="BP165" s="18" t="n">
        <f aca="false">Algae_yield_cost_factor/X165</f>
        <v>0.395419200074669</v>
      </c>
      <c r="BQ165" s="18" t="n">
        <f aca="false">Algae_yield_cost_factor/Y165</f>
        <v>0.389661323908042</v>
      </c>
      <c r="BR165" s="18" t="n">
        <f aca="false">Algae_yield_cost_factor/Z165</f>
        <v>0.386079738839756</v>
      </c>
      <c r="BS165" s="18" t="n">
        <f aca="false">Algae_yield_cost_factor/AA165</f>
        <v>0.38387352454882</v>
      </c>
      <c r="BT165" s="18" t="n">
        <f aca="false">Algae_yield_cost_factor/AB165</f>
        <v>0.382522687051879</v>
      </c>
      <c r="BU165" s="18" t="n">
        <f aca="false">Algae_yield_cost_factor/AC165</f>
        <v>0.381698635676401</v>
      </c>
    </row>
    <row r="166" customFormat="false" ht="15" hidden="false" customHeight="false" outlineLevel="0" collapsed="false">
      <c r="A166" s="18" t="s">
        <v>746</v>
      </c>
      <c r="B166" s="18" t="s">
        <v>22</v>
      </c>
      <c r="C166" s="18" t="s">
        <v>687</v>
      </c>
      <c r="D166" s="18" t="s">
        <v>687</v>
      </c>
      <c r="E166" s="185" t="n">
        <v>1</v>
      </c>
      <c r="F166" s="18" t="n">
        <f aca="false">E166/$B$2*$F$3/1000</f>
        <v>0.00245</v>
      </c>
      <c r="G166" s="18" t="n">
        <f aca="false">LOOKUP(RIGHT(D166,5),Ref!$C$4:$C$21,Ref!$E$4:$E$21)*$G$3</f>
        <v>4.5</v>
      </c>
      <c r="H166" s="222" t="n">
        <f aca="false">$E166</f>
        <v>1</v>
      </c>
      <c r="I166" s="185" t="n">
        <f aca="false">$E166</f>
        <v>1</v>
      </c>
      <c r="J166" s="185" t="n">
        <f aca="false">$E166</f>
        <v>1</v>
      </c>
      <c r="K166" s="185" t="n">
        <f aca="false">$E166</f>
        <v>1</v>
      </c>
      <c r="L166" s="185" t="n">
        <f aca="false">$E166</f>
        <v>1</v>
      </c>
      <c r="M166" s="185" t="n">
        <f aca="false">M$3*$E166</f>
        <v>1.04742587317757</v>
      </c>
      <c r="N166" s="185" t="n">
        <f aca="false">N$3*$E166</f>
        <v>1.07585818002124</v>
      </c>
      <c r="O166" s="185" t="n">
        <f aca="false">O$3*$E166</f>
        <v>1.11920292202212</v>
      </c>
      <c r="P166" s="185" t="n">
        <f aca="false">P$3*$E166</f>
        <v>1.18242552380636</v>
      </c>
      <c r="Q166" s="185" t="n">
        <f aca="false">Q$3*$E166</f>
        <v>1.26894142137</v>
      </c>
      <c r="R166" s="185" t="n">
        <f aca="false">R$3*$E166</f>
        <v>1.37754066879815</v>
      </c>
      <c r="S166" s="185" t="n">
        <f aca="false">S$3*$E166</f>
        <v>1.5</v>
      </c>
      <c r="T166" s="185" t="n">
        <f aca="false">T$3*$E166</f>
        <v>1.62245933120185</v>
      </c>
      <c r="U166" s="185" t="n">
        <f aca="false">U$3*$E166</f>
        <v>1.73105857863</v>
      </c>
      <c r="V166" s="185" t="n">
        <f aca="false">V$3*$E166</f>
        <v>1.81757447619364</v>
      </c>
      <c r="W166" s="185" t="n">
        <f aca="false">W$3*$E166</f>
        <v>1.88079707797788</v>
      </c>
      <c r="X166" s="185" t="n">
        <f aca="false">X$3*$E166</f>
        <v>1.92414181997876</v>
      </c>
      <c r="Y166" s="185" t="n">
        <f aca="false">Y$3*$E166</f>
        <v>1.95257412682243</v>
      </c>
      <c r="Z166" s="185" t="n">
        <f aca="false">Z$3*$E166</f>
        <v>1.97068776924864</v>
      </c>
      <c r="AA166" s="185" t="n">
        <f aca="false">AA$3*$E166</f>
        <v>1.98201379003791</v>
      </c>
      <c r="AB166" s="185" t="n">
        <f aca="false">AB$3*$E166</f>
        <v>1.98901305736941</v>
      </c>
      <c r="AC166" s="185" t="n">
        <f aca="false">AC$3*$E166</f>
        <v>1.99330714907572</v>
      </c>
      <c r="AD166" s="219" t="n">
        <f aca="false">Algae_electricity_factor/H166</f>
        <v>0.0137435971035293</v>
      </c>
      <c r="AE166" s="220" t="n">
        <f aca="false">Algae_electricity_factor/I166</f>
        <v>0.0137435971035293</v>
      </c>
      <c r="AF166" s="220" t="n">
        <f aca="false">Algae_electricity_factor/J166</f>
        <v>0.0137435971035293</v>
      </c>
      <c r="AG166" s="220" t="n">
        <f aca="false">Algae_electricity_factor/K166</f>
        <v>0.0137435971035293</v>
      </c>
      <c r="AH166" s="220" t="n">
        <f aca="false">Algae_electricity_factor/L166</f>
        <v>0.0137435971035293</v>
      </c>
      <c r="AI166" s="220" t="n">
        <f aca="false">Algae_electricity_factor/M166</f>
        <v>0.013121307631857</v>
      </c>
      <c r="AJ166" s="220" t="n">
        <f aca="false">Algae_electricity_factor/N166</f>
        <v>0.0127745434842145</v>
      </c>
      <c r="AK166" s="220" t="n">
        <f aca="false">Algae_electricity_factor/O166</f>
        <v>0.0122798080965497</v>
      </c>
      <c r="AL166" s="220" t="n">
        <f aca="false">Algae_electricity_factor/P166</f>
        <v>0.0116232243188452</v>
      </c>
      <c r="AM166" s="220" t="n">
        <f aca="false">Algae_electricity_factor/Q166</f>
        <v>0.0108307577261456</v>
      </c>
      <c r="AN166" s="220" t="n">
        <f aca="false">Algae_electricity_factor/R166</f>
        <v>0.00997690842443153</v>
      </c>
      <c r="AO166" s="220" t="n">
        <f aca="false">Algae_electricity_factor/S166</f>
        <v>0.00916239806901951</v>
      </c>
      <c r="AP166" s="220" t="n">
        <f aca="false">Algae_electricity_factor/T166</f>
        <v>0.00847084228197482</v>
      </c>
      <c r="AQ166" s="220" t="n">
        <f aca="false">Algae_electricity_factor/U166</f>
        <v>0.00793941769111374</v>
      </c>
      <c r="AR166" s="220" t="n">
        <f aca="false">Algae_electricity_factor/V166</f>
        <v>0.00756150423740052</v>
      </c>
      <c r="AS166" s="220" t="n">
        <f aca="false">Algae_electricity_factor/W166</f>
        <v>0.00730732584841398</v>
      </c>
      <c r="AT166" s="220" t="n">
        <f aca="false">Algae_electricity_factor/X166</f>
        <v>0.00714271524106315</v>
      </c>
      <c r="AU166" s="220" t="n">
        <f aca="false">Algae_electricity_factor/Y166</f>
        <v>0.00703870696366095</v>
      </c>
      <c r="AV166" s="220" t="n">
        <f aca="false">Algae_electricity_factor/Z166</f>
        <v>0.00697401045360383</v>
      </c>
      <c r="AW166" s="220" t="n">
        <f aca="false">Algae_electricity_factor/AA166</f>
        <v>0.00693415816408946</v>
      </c>
      <c r="AX166" s="220" t="n">
        <f aca="false">Algae_electricity_factor/AB166</f>
        <v>0.00690975710421229</v>
      </c>
      <c r="AY166" s="220" t="n">
        <f aca="false">Algae_electricity_factor/AC166</f>
        <v>0.00689487172606695</v>
      </c>
      <c r="AZ166" s="211" t="n">
        <f aca="false">Algae_yield_cost_factor/H166</f>
        <v>0.760842619286218</v>
      </c>
      <c r="BA166" s="18" t="n">
        <f aca="false">Algae_yield_cost_factor/I166</f>
        <v>0.760842619286218</v>
      </c>
      <c r="BB166" s="18" t="n">
        <f aca="false">Algae_yield_cost_factor/J166</f>
        <v>0.760842619286218</v>
      </c>
      <c r="BC166" s="18" t="n">
        <f aca="false">Algae_yield_cost_factor/K166</f>
        <v>0.760842619286218</v>
      </c>
      <c r="BD166" s="18" t="n">
        <f aca="false">Algae_yield_cost_factor/L166</f>
        <v>0.760842619286218</v>
      </c>
      <c r="BE166" s="18" t="n">
        <f aca="false">Algae_yield_cost_factor/M166</f>
        <v>0.726392806183082</v>
      </c>
      <c r="BF166" s="18" t="n">
        <f aca="false">Algae_yield_cost_factor/N166</f>
        <v>0.707196016552288</v>
      </c>
      <c r="BG166" s="18" t="n">
        <f aca="false">Algae_yield_cost_factor/O166</f>
        <v>0.679807570473071</v>
      </c>
      <c r="BH166" s="18" t="n">
        <f aca="false">Algae_yield_cost_factor/P166</f>
        <v>0.643459231865177</v>
      </c>
      <c r="BI166" s="18" t="n">
        <f aca="false">Algae_yield_cost_factor/Q166</f>
        <v>0.599588449453234</v>
      </c>
      <c r="BJ166" s="18" t="n">
        <f aca="false">Algae_yield_cost_factor/R166</f>
        <v>0.55231953329554</v>
      </c>
      <c r="BK166" s="18" t="n">
        <f aca="false">Algae_yield_cost_factor/S166</f>
        <v>0.507228412857479</v>
      </c>
      <c r="BL166" s="18" t="n">
        <f aca="false">Algae_yield_cost_factor/T166</f>
        <v>0.468944031233507</v>
      </c>
      <c r="BM166" s="18" t="n">
        <f aca="false">Algae_yield_cost_factor/U166</f>
        <v>0.439524478650725</v>
      </c>
      <c r="BN166" s="18" t="n">
        <f aca="false">Algae_yield_cost_factor/V166</f>
        <v>0.418603270045677</v>
      </c>
      <c r="BO166" s="18" t="n">
        <f aca="false">Algae_yield_cost_factor/W166</f>
        <v>0.404532008367553</v>
      </c>
      <c r="BP166" s="18" t="n">
        <f aca="false">Algae_yield_cost_factor/X166</f>
        <v>0.395419200074669</v>
      </c>
      <c r="BQ166" s="18" t="n">
        <f aca="false">Algae_yield_cost_factor/Y166</f>
        <v>0.389661323908042</v>
      </c>
      <c r="BR166" s="18" t="n">
        <f aca="false">Algae_yield_cost_factor/Z166</f>
        <v>0.386079738839756</v>
      </c>
      <c r="BS166" s="18" t="n">
        <f aca="false">Algae_yield_cost_factor/AA166</f>
        <v>0.38387352454882</v>
      </c>
      <c r="BT166" s="18" t="n">
        <f aca="false">Algae_yield_cost_factor/AB166</f>
        <v>0.382522687051879</v>
      </c>
      <c r="BU166" s="18" t="n">
        <f aca="false">Algae_yield_cost_factor/AC166</f>
        <v>0.381698635676401</v>
      </c>
    </row>
    <row r="167" customFormat="false" ht="15" hidden="false" customHeight="false" outlineLevel="0" collapsed="false">
      <c r="A167" s="18" t="s">
        <v>714</v>
      </c>
      <c r="B167" s="18" t="s">
        <v>22</v>
      </c>
      <c r="C167" s="18" t="s">
        <v>690</v>
      </c>
      <c r="D167" s="18" t="s">
        <v>690</v>
      </c>
      <c r="E167" s="185" t="n">
        <v>8.1015</v>
      </c>
      <c r="F167" s="18" t="n">
        <f aca="false">E167/$B$2*$F$3/1000</f>
        <v>0.019848675</v>
      </c>
      <c r="G167" s="18" t="n">
        <f aca="false">LOOKUP(RIGHT(D167,5),Ref!$C$4:$C$21,Ref!$E$4:$E$21)*$G$3</f>
        <v>1.5</v>
      </c>
      <c r="H167" s="222" t="n">
        <f aca="false">$E167</f>
        <v>8.1015</v>
      </c>
      <c r="I167" s="185" t="n">
        <f aca="false">$E167</f>
        <v>8.1015</v>
      </c>
      <c r="J167" s="185" t="n">
        <f aca="false">$E167</f>
        <v>8.1015</v>
      </c>
      <c r="K167" s="185" t="n">
        <f aca="false">$E167</f>
        <v>8.1015</v>
      </c>
      <c r="L167" s="185" t="n">
        <f aca="false">$E167</f>
        <v>8.1015</v>
      </c>
      <c r="M167" s="185" t="n">
        <f aca="false">M$3*$E167</f>
        <v>8.48572071154806</v>
      </c>
      <c r="N167" s="185" t="n">
        <f aca="false">N$3*$E167</f>
        <v>8.7160650454421</v>
      </c>
      <c r="O167" s="185" t="n">
        <f aca="false">O$3*$E167</f>
        <v>9.06722247276219</v>
      </c>
      <c r="P167" s="185" t="n">
        <f aca="false">P$3*$E167</f>
        <v>9.5794203811172</v>
      </c>
      <c r="Q167" s="185" t="n">
        <f aca="false">Q$3*$E167</f>
        <v>10.280328925229</v>
      </c>
      <c r="R167" s="185" t="n">
        <f aca="false">R$3*$E167</f>
        <v>11.1601457282682</v>
      </c>
      <c r="S167" s="185" t="n">
        <f aca="false">S$3*$E167</f>
        <v>12.15225</v>
      </c>
      <c r="T167" s="185" t="n">
        <f aca="false">T$3*$E167</f>
        <v>13.1443542717318</v>
      </c>
      <c r="U167" s="185" t="n">
        <f aca="false">U$3*$E167</f>
        <v>14.024171074771</v>
      </c>
      <c r="V167" s="185" t="n">
        <f aca="false">V$3*$E167</f>
        <v>14.7250796188828</v>
      </c>
      <c r="W167" s="185" t="n">
        <f aca="false">W$3*$E167</f>
        <v>15.2372775272378</v>
      </c>
      <c r="X167" s="185" t="n">
        <f aca="false">X$3*$E167</f>
        <v>15.5884349545579</v>
      </c>
      <c r="Y167" s="185" t="n">
        <f aca="false">Y$3*$E167</f>
        <v>15.8187792884519</v>
      </c>
      <c r="Z167" s="185" t="n">
        <f aca="false">Z$3*$E167</f>
        <v>15.9655269625679</v>
      </c>
      <c r="AA167" s="185" t="n">
        <f aca="false">AA$3*$E167</f>
        <v>16.0572847199921</v>
      </c>
      <c r="AB167" s="185" t="n">
        <f aca="false">AB$3*$E167</f>
        <v>16.1139892842783</v>
      </c>
      <c r="AC167" s="185" t="n">
        <f aca="false">AC$3*$E167</f>
        <v>16.1487778682369</v>
      </c>
      <c r="AD167" s="219" t="n">
        <f aca="false">Algae_electricity_factor/H167</f>
        <v>0.00169642623014618</v>
      </c>
      <c r="AE167" s="220" t="n">
        <f aca="false">Algae_electricity_factor/I167</f>
        <v>0.00169642623014618</v>
      </c>
      <c r="AF167" s="220" t="n">
        <f aca="false">Algae_electricity_factor/J167</f>
        <v>0.00169642623014618</v>
      </c>
      <c r="AG167" s="220" t="n">
        <f aca="false">Algae_electricity_factor/K167</f>
        <v>0.00169642623014618</v>
      </c>
      <c r="AH167" s="220" t="n">
        <f aca="false">Algae_electricity_factor/L167</f>
        <v>0.00169642623014618</v>
      </c>
      <c r="AI167" s="220" t="n">
        <f aca="false">Algae_electricity_factor/M167</f>
        <v>0.00161961459382299</v>
      </c>
      <c r="AJ167" s="220" t="n">
        <f aca="false">Algae_electricity_factor/N167</f>
        <v>0.00157681213160705</v>
      </c>
      <c r="AK167" s="220" t="n">
        <f aca="false">Algae_electricity_factor/O167</f>
        <v>0.00151574499741402</v>
      </c>
      <c r="AL167" s="220" t="n">
        <f aca="false">Algae_electricity_factor/P167</f>
        <v>0.00143470028005248</v>
      </c>
      <c r="AM167" s="220" t="n">
        <f aca="false">Algae_electricity_factor/Q167</f>
        <v>0.00133688301254652</v>
      </c>
      <c r="AN167" s="220" t="n">
        <f aca="false">Algae_electricity_factor/R167</f>
        <v>0.00123148903591082</v>
      </c>
      <c r="AO167" s="220" t="n">
        <f aca="false">Algae_electricity_factor/S167</f>
        <v>0.00113095082009745</v>
      </c>
      <c r="AP167" s="220" t="n">
        <f aca="false">Algae_electricity_factor/T167</f>
        <v>0.00104558937011354</v>
      </c>
      <c r="AQ167" s="220" t="n">
        <f aca="false">Algae_electricity_factor/U167</f>
        <v>0.000979993543308491</v>
      </c>
      <c r="AR167" s="220" t="n">
        <f aca="false">Algae_electricity_factor/V167</f>
        <v>0.000933346199765539</v>
      </c>
      <c r="AS167" s="220" t="n">
        <f aca="false">Algae_electricity_factor/W167</f>
        <v>0.00090197196178658</v>
      </c>
      <c r="AT167" s="220" t="n">
        <f aca="false">Algae_electricity_factor/X167</f>
        <v>0.000881653427274351</v>
      </c>
      <c r="AU167" s="220" t="n">
        <f aca="false">Algae_electricity_factor/Y167</f>
        <v>0.000868815276635308</v>
      </c>
      <c r="AV167" s="220" t="n">
        <f aca="false">Algae_electricity_factor/Z167</f>
        <v>0.000860829532013063</v>
      </c>
      <c r="AW167" s="220" t="n">
        <f aca="false">Algae_electricity_factor/AA167</f>
        <v>0.000855910407219584</v>
      </c>
      <c r="AX167" s="220" t="n">
        <f aca="false">Algae_electricity_factor/AB167</f>
        <v>0.000852898488454272</v>
      </c>
      <c r="AY167" s="220" t="n">
        <f aca="false">Algae_electricity_factor/AC167</f>
        <v>0.000851061127700666</v>
      </c>
      <c r="AZ167" s="211" t="n">
        <f aca="false">Algae_yield_cost_factor/H167</f>
        <v>0.0939137961224733</v>
      </c>
      <c r="BA167" s="18" t="n">
        <f aca="false">Algae_yield_cost_factor/I167</f>
        <v>0.0939137961224733</v>
      </c>
      <c r="BB167" s="18" t="n">
        <f aca="false">Algae_yield_cost_factor/J167</f>
        <v>0.0939137961224733</v>
      </c>
      <c r="BC167" s="18" t="n">
        <f aca="false">Algae_yield_cost_factor/K167</f>
        <v>0.0939137961224733</v>
      </c>
      <c r="BD167" s="18" t="n">
        <f aca="false">Algae_yield_cost_factor/L167</f>
        <v>0.0939137961224733</v>
      </c>
      <c r="BE167" s="18" t="n">
        <f aca="false">Algae_yield_cost_factor/M167</f>
        <v>0.0896615202349049</v>
      </c>
      <c r="BF167" s="18" t="n">
        <f aca="false">Algae_yield_cost_factor/N167</f>
        <v>0.0872919850092314</v>
      </c>
      <c r="BG167" s="18" t="n">
        <f aca="false">Algae_yield_cost_factor/O167</f>
        <v>0.0839113214186349</v>
      </c>
      <c r="BH167" s="18" t="n">
        <f aca="false">Algae_yield_cost_factor/P167</f>
        <v>0.0794247030630349</v>
      </c>
      <c r="BI167" s="18" t="n">
        <f aca="false">Algae_yield_cost_factor/Q167</f>
        <v>0.0740095598905429</v>
      </c>
      <c r="BJ167" s="18" t="n">
        <f aca="false">Algae_yield_cost_factor/R167</f>
        <v>0.0681749717083923</v>
      </c>
      <c r="BK167" s="18" t="n">
        <f aca="false">Algae_yield_cost_factor/S167</f>
        <v>0.0626091974149822</v>
      </c>
      <c r="BL167" s="18" t="n">
        <f aca="false">Algae_yield_cost_factor/T167</f>
        <v>0.05788360565741</v>
      </c>
      <c r="BM167" s="18" t="n">
        <f aca="false">Algae_yield_cost_factor/U167</f>
        <v>0.0542522346047923</v>
      </c>
      <c r="BN167" s="18" t="n">
        <f aca="false">Algae_yield_cost_factor/V167</f>
        <v>0.0516698475647321</v>
      </c>
      <c r="BO167" s="18" t="n">
        <f aca="false">Algae_yield_cost_factor/W167</f>
        <v>0.0499329764077705</v>
      </c>
      <c r="BP167" s="18" t="n">
        <f aca="false">Algae_yield_cost_factor/X167</f>
        <v>0.0488081466487279</v>
      </c>
      <c r="BQ167" s="18" t="n">
        <f aca="false">Algae_yield_cost_factor/Y167</f>
        <v>0.0480974293535816</v>
      </c>
      <c r="BR167" s="18" t="n">
        <f aca="false">Algae_yield_cost_factor/Z167</f>
        <v>0.047655340225854</v>
      </c>
      <c r="BS167" s="18" t="n">
        <f aca="false">Algae_yield_cost_factor/AA167</f>
        <v>0.0473830185211159</v>
      </c>
      <c r="BT167" s="18" t="n">
        <f aca="false">Algae_yield_cost_factor/AB167</f>
        <v>0.0472162793373917</v>
      </c>
      <c r="BU167" s="18" t="n">
        <f aca="false">Algae_yield_cost_factor/AC167</f>
        <v>0.0471145634359565</v>
      </c>
    </row>
    <row r="168" customFormat="false" ht="15" hidden="false" customHeight="false" outlineLevel="0" collapsed="false">
      <c r="A168" s="18" t="s">
        <v>714</v>
      </c>
      <c r="B168" s="18" t="s">
        <v>22</v>
      </c>
      <c r="C168" s="18" t="s">
        <v>691</v>
      </c>
      <c r="D168" s="18" t="s">
        <v>691</v>
      </c>
      <c r="E168" s="185" t="n">
        <v>8.48925</v>
      </c>
      <c r="F168" s="18" t="n">
        <f aca="false">E168/$B$2*$F$3/1000</f>
        <v>0.0207986625</v>
      </c>
      <c r="G168" s="18" t="n">
        <f aca="false">LOOKUP(RIGHT(D168,5),Ref!$C$4:$C$21,Ref!$E$4:$E$21)*$G$3</f>
        <v>2</v>
      </c>
      <c r="H168" s="222" t="n">
        <f aca="false">$E168</f>
        <v>8.48925</v>
      </c>
      <c r="I168" s="185" t="n">
        <f aca="false">$E168</f>
        <v>8.48925</v>
      </c>
      <c r="J168" s="185" t="n">
        <f aca="false">$E168</f>
        <v>8.48925</v>
      </c>
      <c r="K168" s="185" t="n">
        <f aca="false">$E168</f>
        <v>8.48925</v>
      </c>
      <c r="L168" s="185" t="n">
        <f aca="false">$E168</f>
        <v>8.48925</v>
      </c>
      <c r="M168" s="185" t="n">
        <f aca="false">M$3*$E168</f>
        <v>8.89186009387266</v>
      </c>
      <c r="N168" s="185" t="n">
        <f aca="false">N$3*$E168</f>
        <v>9.13322905474534</v>
      </c>
      <c r="O168" s="185" t="n">
        <f aca="false">O$3*$E168</f>
        <v>9.50119340577626</v>
      </c>
      <c r="P168" s="185" t="n">
        <f aca="false">P$3*$E168</f>
        <v>10.0379058779731</v>
      </c>
      <c r="Q168" s="185" t="n">
        <f aca="false">Q$3*$E168</f>
        <v>10.7723609613652</v>
      </c>
      <c r="R168" s="185" t="n">
        <f aca="false">R$3*$E168</f>
        <v>11.6942871225947</v>
      </c>
      <c r="S168" s="185" t="n">
        <f aca="false">S$3*$E168</f>
        <v>12.733875</v>
      </c>
      <c r="T168" s="185" t="n">
        <f aca="false">T$3*$E168</f>
        <v>13.7734628774053</v>
      </c>
      <c r="U168" s="185" t="n">
        <f aca="false">U$3*$E168</f>
        <v>14.6953890386348</v>
      </c>
      <c r="V168" s="185" t="n">
        <f aca="false">V$3*$E168</f>
        <v>15.4298441220269</v>
      </c>
      <c r="W168" s="185" t="n">
        <f aca="false">W$3*$E168</f>
        <v>15.9665565942237</v>
      </c>
      <c r="X168" s="185" t="n">
        <f aca="false">X$3*$E168</f>
        <v>16.3345209452547</v>
      </c>
      <c r="Y168" s="185" t="n">
        <f aca="false">Y$3*$E168</f>
        <v>16.5758899061273</v>
      </c>
      <c r="Z168" s="185" t="n">
        <f aca="false">Z$3*$E168</f>
        <v>16.729661145094</v>
      </c>
      <c r="AA168" s="185" t="n">
        <f aca="false">AA$3*$E168</f>
        <v>16.8258105670793</v>
      </c>
      <c r="AB168" s="185" t="n">
        <f aca="false">AB$3*$E168</f>
        <v>16.8852290972732</v>
      </c>
      <c r="AC168" s="185" t="n">
        <f aca="false">AC$3*$E168</f>
        <v>16.921682715291</v>
      </c>
      <c r="AD168" s="219" t="n">
        <f aca="false">Algae_electricity_factor/H168</f>
        <v>0.0016189412614223</v>
      </c>
      <c r="AE168" s="220" t="n">
        <f aca="false">Algae_electricity_factor/I168</f>
        <v>0.0016189412614223</v>
      </c>
      <c r="AF168" s="220" t="n">
        <f aca="false">Algae_electricity_factor/J168</f>
        <v>0.0016189412614223</v>
      </c>
      <c r="AG168" s="220" t="n">
        <f aca="false">Algae_electricity_factor/K168</f>
        <v>0.0016189412614223</v>
      </c>
      <c r="AH168" s="220" t="n">
        <f aca="false">Algae_electricity_factor/L168</f>
        <v>0.0016189412614223</v>
      </c>
      <c r="AI168" s="220" t="n">
        <f aca="false">Algae_electricity_factor/M168</f>
        <v>0.0015456380283131</v>
      </c>
      <c r="AJ168" s="220" t="n">
        <f aca="false">Algae_electricity_factor/N168</f>
        <v>0.00150479058623724</v>
      </c>
      <c r="AK168" s="220" t="n">
        <f aca="false">Algae_electricity_factor/O168</f>
        <v>0.00144651271862057</v>
      </c>
      <c r="AL168" s="220" t="n">
        <f aca="false">Algae_electricity_factor/P168</f>
        <v>0.0013691697521978</v>
      </c>
      <c r="AM168" s="220" t="n">
        <f aca="false">Algae_electricity_factor/Q168</f>
        <v>0.00127582032878589</v>
      </c>
      <c r="AN168" s="220" t="n">
        <f aca="false">Algae_electricity_factor/R168</f>
        <v>0.0011752402655631</v>
      </c>
      <c r="AO168" s="220" t="n">
        <f aca="false">Algae_electricity_factor/S168</f>
        <v>0.00107929417428153</v>
      </c>
      <c r="AP168" s="220" t="n">
        <f aca="false">Algae_electricity_factor/T168</f>
        <v>0.000997831643781821</v>
      </c>
      <c r="AQ168" s="220" t="n">
        <f aca="false">Algae_electricity_factor/U168</f>
        <v>0.000935231933458637</v>
      </c>
      <c r="AR168" s="220" t="n">
        <f aca="false">Algae_electricity_factor/V168</f>
        <v>0.000890715226598406</v>
      </c>
      <c r="AS168" s="220" t="n">
        <f aca="false">Algae_electricity_factor/W168</f>
        <v>0.000860774019897397</v>
      </c>
      <c r="AT168" s="220" t="n">
        <f aca="false">Algae_electricity_factor/X168</f>
        <v>0.000841383542841023</v>
      </c>
      <c r="AU168" s="220" t="n">
        <f aca="false">Algae_electricity_factor/Y168</f>
        <v>0.000829131780034862</v>
      </c>
      <c r="AV168" s="220" t="n">
        <f aca="false">Algae_electricity_factor/Z168</f>
        <v>0.000821510787596529</v>
      </c>
      <c r="AW168" s="220" t="n">
        <f aca="false">Algae_electricity_factor/AA168</f>
        <v>0.000816816345859701</v>
      </c>
      <c r="AX168" s="220" t="n">
        <f aca="false">Algae_electricity_factor/AB168</f>
        <v>0.000813941997727984</v>
      </c>
      <c r="AY168" s="220" t="n">
        <f aca="false">Algae_electricity_factor/AC168</f>
        <v>0.00081218855918567</v>
      </c>
      <c r="AZ168" s="211" t="n">
        <f aca="false">Algae_yield_cost_factor/H168</f>
        <v>0.0896242446960824</v>
      </c>
      <c r="BA168" s="18" t="n">
        <f aca="false">Algae_yield_cost_factor/I168</f>
        <v>0.0896242446960824</v>
      </c>
      <c r="BB168" s="18" t="n">
        <f aca="false">Algae_yield_cost_factor/J168</f>
        <v>0.0896242446960824</v>
      </c>
      <c r="BC168" s="18" t="n">
        <f aca="false">Algae_yield_cost_factor/K168</f>
        <v>0.0896242446960824</v>
      </c>
      <c r="BD168" s="18" t="n">
        <f aca="false">Algae_yield_cost_factor/L168</f>
        <v>0.0896242446960824</v>
      </c>
      <c r="BE168" s="18" t="n">
        <f aca="false">Algae_yield_cost_factor/M168</f>
        <v>0.0855661932659637</v>
      </c>
      <c r="BF168" s="18" t="n">
        <f aca="false">Algae_yield_cost_factor/N168</f>
        <v>0.0833048875403938</v>
      </c>
      <c r="BG168" s="18" t="n">
        <f aca="false">Algae_yield_cost_factor/O168</f>
        <v>0.0800786371555875</v>
      </c>
      <c r="BH168" s="18" t="n">
        <f aca="false">Algae_yield_cost_factor/P168</f>
        <v>0.0757969469464531</v>
      </c>
      <c r="BI168" s="18" t="n">
        <f aca="false">Algae_yield_cost_factor/Q168</f>
        <v>0.0706291426749399</v>
      </c>
      <c r="BJ168" s="18" t="n">
        <f aca="false">Algae_yield_cost_factor/R168</f>
        <v>0.0650610517178243</v>
      </c>
      <c r="BK168" s="18" t="n">
        <f aca="false">Algae_yield_cost_factor/S168</f>
        <v>0.059749496464055</v>
      </c>
      <c r="BL168" s="18" t="n">
        <f aca="false">Algae_yield_cost_factor/T168</f>
        <v>0.0552397480617849</v>
      </c>
      <c r="BM168" s="18" t="n">
        <f aca="false">Algae_yield_cost_factor/U168</f>
        <v>0.0517742413818329</v>
      </c>
      <c r="BN168" s="18" t="n">
        <f aca="false">Algae_yield_cost_factor/V168</f>
        <v>0.049309805936411</v>
      </c>
      <c r="BO168" s="18" t="n">
        <f aca="false">Algae_yield_cost_factor/W168</f>
        <v>0.0476522670869103</v>
      </c>
      <c r="BP168" s="18" t="n">
        <f aca="false">Algae_yield_cost_factor/X168</f>
        <v>0.0465788143916917</v>
      </c>
      <c r="BQ168" s="18" t="n">
        <f aca="false">Algae_yield_cost_factor/Y168</f>
        <v>0.0459005594025434</v>
      </c>
      <c r="BR168" s="18" t="n">
        <f aca="false">Algae_yield_cost_factor/Z168</f>
        <v>0.0454786628783174</v>
      </c>
      <c r="BS168" s="18" t="n">
        <f aca="false">Algae_yield_cost_factor/AA168</f>
        <v>0.0452187795799182</v>
      </c>
      <c r="BT168" s="18" t="n">
        <f aca="false">Algae_yield_cost_factor/AB168</f>
        <v>0.0450596562772776</v>
      </c>
      <c r="BU168" s="18" t="n">
        <f aca="false">Algae_yield_cost_factor/AC168</f>
        <v>0.0449625862916514</v>
      </c>
    </row>
    <row r="169" customFormat="false" ht="15" hidden="false" customHeight="false" outlineLevel="0" collapsed="false">
      <c r="A169" s="18" t="s">
        <v>714</v>
      </c>
      <c r="B169" s="18" t="s">
        <v>22</v>
      </c>
      <c r="C169" s="18" t="s">
        <v>692</v>
      </c>
      <c r="D169" s="18" t="s">
        <v>692</v>
      </c>
      <c r="E169" s="185" t="n">
        <v>8.2005</v>
      </c>
      <c r="F169" s="18" t="n">
        <f aca="false">E169/$B$2*$F$3/1000</f>
        <v>0.020091225</v>
      </c>
      <c r="G169" s="18" t="n">
        <f aca="false">LOOKUP(RIGHT(D169,5),Ref!$C$4:$C$21,Ref!$E$4:$E$21)*$G$3</f>
        <v>2.5</v>
      </c>
      <c r="H169" s="222" t="n">
        <f aca="false">$E169</f>
        <v>8.2005</v>
      </c>
      <c r="I169" s="185" t="n">
        <f aca="false">$E169</f>
        <v>8.2005</v>
      </c>
      <c r="J169" s="185" t="n">
        <f aca="false">$E169</f>
        <v>8.2005</v>
      </c>
      <c r="K169" s="185" t="n">
        <f aca="false">$E169</f>
        <v>8.2005</v>
      </c>
      <c r="L169" s="185" t="n">
        <f aca="false">$E169</f>
        <v>8.2005</v>
      </c>
      <c r="M169" s="185" t="n">
        <f aca="false">M$3*$E169</f>
        <v>8.58941587299264</v>
      </c>
      <c r="N169" s="185" t="n">
        <f aca="false">N$3*$E169</f>
        <v>8.82257500526421</v>
      </c>
      <c r="O169" s="185" t="n">
        <f aca="false">O$3*$E169</f>
        <v>9.17802356204238</v>
      </c>
      <c r="P169" s="185" t="n">
        <f aca="false">P$3*$E169</f>
        <v>9.69648050797403</v>
      </c>
      <c r="Q169" s="185" t="n">
        <f aca="false">Q$3*$E169</f>
        <v>10.4059541259446</v>
      </c>
      <c r="R169" s="185" t="n">
        <f aca="false">R$3*$E169</f>
        <v>11.2965222544792</v>
      </c>
      <c r="S169" s="185" t="n">
        <f aca="false">S$3*$E169</f>
        <v>12.30075</v>
      </c>
      <c r="T169" s="185" t="n">
        <f aca="false">T$3*$E169</f>
        <v>13.3049777455208</v>
      </c>
      <c r="U169" s="185" t="n">
        <f aca="false">U$3*$E169</f>
        <v>14.1955458740554</v>
      </c>
      <c r="V169" s="185" t="n">
        <f aca="false">V$3*$E169</f>
        <v>14.905019492026</v>
      </c>
      <c r="W169" s="185" t="n">
        <f aca="false">W$3*$E169</f>
        <v>15.4234764379576</v>
      </c>
      <c r="X169" s="185" t="n">
        <f aca="false">X$3*$E169</f>
        <v>15.7789249947358</v>
      </c>
      <c r="Y169" s="185" t="n">
        <f aca="false">Y$3*$E169</f>
        <v>16.0120841270074</v>
      </c>
      <c r="Z169" s="185" t="n">
        <f aca="false">Z$3*$E169</f>
        <v>16.1606250517235</v>
      </c>
      <c r="AA169" s="185" t="n">
        <f aca="false">AA$3*$E169</f>
        <v>16.2535040852059</v>
      </c>
      <c r="AB169" s="185" t="n">
        <f aca="false">AB$3*$E169</f>
        <v>16.3109015769578</v>
      </c>
      <c r="AC169" s="185" t="n">
        <f aca="false">AC$3*$E169</f>
        <v>16.3461152759954</v>
      </c>
      <c r="AD169" s="219" t="n">
        <f aca="false">Algae_electricity_factor/H169</f>
        <v>0.00167594623541604</v>
      </c>
      <c r="AE169" s="220" t="n">
        <f aca="false">Algae_electricity_factor/I169</f>
        <v>0.00167594623541604</v>
      </c>
      <c r="AF169" s="220" t="n">
        <f aca="false">Algae_electricity_factor/J169</f>
        <v>0.00167594623541604</v>
      </c>
      <c r="AG169" s="220" t="n">
        <f aca="false">Algae_electricity_factor/K169</f>
        <v>0.00167594623541604</v>
      </c>
      <c r="AH169" s="220" t="n">
        <f aca="false">Algae_electricity_factor/L169</f>
        <v>0.00167594623541604</v>
      </c>
      <c r="AI169" s="220" t="n">
        <f aca="false">Algae_electricity_factor/M169</f>
        <v>0.00160006190254948</v>
      </c>
      <c r="AJ169" s="220" t="n">
        <f aca="false">Algae_electricity_factor/N169</f>
        <v>0.00155777617025968</v>
      </c>
      <c r="AK169" s="220" t="n">
        <f aca="false">Algae_electricity_factor/O169</f>
        <v>0.00149744626505087</v>
      </c>
      <c r="AL169" s="220" t="n">
        <f aca="false">Algae_electricity_factor/P169</f>
        <v>0.00141737995473997</v>
      </c>
      <c r="AM169" s="220" t="n">
        <f aca="false">Algae_electricity_factor/Q169</f>
        <v>0.00132074357979948</v>
      </c>
      <c r="AN169" s="220" t="n">
        <f aca="false">Algae_electricity_factor/R169</f>
        <v>0.00121662196505476</v>
      </c>
      <c r="AO169" s="220" t="n">
        <f aca="false">Algae_electricity_factor/S169</f>
        <v>0.00111729749027736</v>
      </c>
      <c r="AP169" s="220" t="n">
        <f aca="false">Algae_electricity_factor/T169</f>
        <v>0.00103296656081639</v>
      </c>
      <c r="AQ169" s="220" t="n">
        <f aca="false">Algae_electricity_factor/U169</f>
        <v>0.000968162635340984</v>
      </c>
      <c r="AR169" s="220" t="n">
        <f aca="false">Algae_electricity_factor/V169</f>
        <v>0.000922078438802575</v>
      </c>
      <c r="AS169" s="220" t="n">
        <f aca="false">Algae_electricity_factor/W169</f>
        <v>0.000891082964259982</v>
      </c>
      <c r="AT169" s="220" t="n">
        <f aca="false">Algae_electricity_factor/X169</f>
        <v>0.000871009723926974</v>
      </c>
      <c r="AU169" s="220" t="n">
        <f aca="false">Algae_electricity_factor/Y169</f>
        <v>0.000858326561022005</v>
      </c>
      <c r="AV169" s="220" t="n">
        <f aca="false">Algae_electricity_factor/Z169</f>
        <v>0.000850437223779505</v>
      </c>
      <c r="AW169" s="220" t="n">
        <f aca="false">Algae_electricity_factor/AA169</f>
        <v>0.000845577484798422</v>
      </c>
      <c r="AX169" s="220" t="n">
        <f aca="false">Algae_electricity_factor/AB169</f>
        <v>0.000842601927225448</v>
      </c>
      <c r="AY169" s="220" t="n">
        <f aca="false">Algae_electricity_factor/AC169</f>
        <v>0.00084078674788939</v>
      </c>
      <c r="AZ169" s="211" t="n">
        <f aca="false">Algae_yield_cost_factor/H169</f>
        <v>0.092780027960029</v>
      </c>
      <c r="BA169" s="18" t="n">
        <f aca="false">Algae_yield_cost_factor/I169</f>
        <v>0.092780027960029</v>
      </c>
      <c r="BB169" s="18" t="n">
        <f aca="false">Algae_yield_cost_factor/J169</f>
        <v>0.092780027960029</v>
      </c>
      <c r="BC169" s="18" t="n">
        <f aca="false">Algae_yield_cost_factor/K169</f>
        <v>0.092780027960029</v>
      </c>
      <c r="BD169" s="18" t="n">
        <f aca="false">Algae_yield_cost_factor/L169</f>
        <v>0.092780027960029</v>
      </c>
      <c r="BE169" s="18" t="n">
        <f aca="false">Algae_yield_cost_factor/M169</f>
        <v>0.0885790873950469</v>
      </c>
      <c r="BF169" s="18" t="n">
        <f aca="false">Algae_yield_cost_factor/N169</f>
        <v>0.0862381582284358</v>
      </c>
      <c r="BG169" s="18" t="n">
        <f aca="false">Algae_yield_cost_factor/O169</f>
        <v>0.0828983074779673</v>
      </c>
      <c r="BH169" s="18" t="n">
        <f aca="false">Algae_yield_cost_factor/P169</f>
        <v>0.0784658535290747</v>
      </c>
      <c r="BI169" s="18" t="n">
        <f aca="false">Algae_yield_cost_factor/Q169</f>
        <v>0.0731160843184237</v>
      </c>
      <c r="BJ169" s="18" t="n">
        <f aca="false">Algae_yield_cost_factor/R169</f>
        <v>0.0673519338205646</v>
      </c>
      <c r="BK169" s="18" t="n">
        <f aca="false">Algae_yield_cost_factor/S169</f>
        <v>0.0618533519733527</v>
      </c>
      <c r="BL169" s="18" t="n">
        <f aca="false">Algae_yield_cost_factor/T169</f>
        <v>0.0571848096132562</v>
      </c>
      <c r="BM169" s="18" t="n">
        <f aca="false">Algae_yield_cost_factor/U169</f>
        <v>0.0535972780502073</v>
      </c>
      <c r="BN169" s="18" t="n">
        <f aca="false">Algae_yield_cost_factor/V169</f>
        <v>0.0510460667088198</v>
      </c>
      <c r="BO169" s="18" t="n">
        <f aca="false">Algae_yield_cost_factor/W169</f>
        <v>0.0493301638153226</v>
      </c>
      <c r="BP169" s="18" t="n">
        <f aca="false">Algae_yield_cost_factor/X169</f>
        <v>0.0482189134899907</v>
      </c>
      <c r="BQ169" s="18" t="n">
        <f aca="false">Algae_yield_cost_factor/Y169</f>
        <v>0.0475167762829147</v>
      </c>
      <c r="BR169" s="18" t="n">
        <f aca="false">Algae_yield_cost_factor/Z169</f>
        <v>0.0470800242472722</v>
      </c>
      <c r="BS169" s="18" t="n">
        <f aca="false">Algae_yield_cost_factor/AA169</f>
        <v>0.0468109901285069</v>
      </c>
      <c r="BT169" s="18" t="n">
        <f aca="false">Algae_yield_cost_factor/AB169</f>
        <v>0.0466462638926747</v>
      </c>
      <c r="BU169" s="18" t="n">
        <f aca="false">Algae_yield_cost_factor/AC169</f>
        <v>0.0465457759498081</v>
      </c>
    </row>
    <row r="170" customFormat="false" ht="15" hidden="false" customHeight="false" outlineLevel="0" collapsed="false">
      <c r="A170" s="18" t="s">
        <v>714</v>
      </c>
      <c r="B170" s="18" t="s">
        <v>22</v>
      </c>
      <c r="C170" s="18" t="s">
        <v>693</v>
      </c>
      <c r="D170" s="18" t="s">
        <v>693</v>
      </c>
      <c r="E170" s="185" t="n">
        <v>7.61475</v>
      </c>
      <c r="F170" s="18" t="n">
        <f aca="false">E170/$B$2*$F$3/1000</f>
        <v>0.0186561375</v>
      </c>
      <c r="G170" s="18" t="n">
        <f aca="false">LOOKUP(RIGHT(D170,5),Ref!$C$4:$C$21,Ref!$E$4:$E$21)*$G$3</f>
        <v>3</v>
      </c>
      <c r="H170" s="222" t="n">
        <f aca="false">$E170</f>
        <v>7.61475</v>
      </c>
      <c r="I170" s="185" t="n">
        <f aca="false">$E170</f>
        <v>7.61475</v>
      </c>
      <c r="J170" s="185" t="n">
        <f aca="false">$E170</f>
        <v>7.61475</v>
      </c>
      <c r="K170" s="185" t="n">
        <f aca="false">$E170</f>
        <v>7.61475</v>
      </c>
      <c r="L170" s="185" t="n">
        <f aca="false">$E170</f>
        <v>7.61475</v>
      </c>
      <c r="M170" s="185" t="n">
        <f aca="false">M$3*$E170</f>
        <v>7.97588616777888</v>
      </c>
      <c r="N170" s="185" t="n">
        <f aca="false">N$3*$E170</f>
        <v>8.19239107631677</v>
      </c>
      <c r="O170" s="185" t="n">
        <f aca="false">O$3*$E170</f>
        <v>8.52245045046792</v>
      </c>
      <c r="P170" s="185" t="n">
        <f aca="false">P$3*$E170</f>
        <v>9.00387475740445</v>
      </c>
      <c r="Q170" s="185" t="n">
        <f aca="false">Q$3*$E170</f>
        <v>9.66267168837717</v>
      </c>
      <c r="R170" s="185" t="n">
        <f aca="false">R$3*$E170</f>
        <v>10.4896278077307</v>
      </c>
      <c r="S170" s="185" t="n">
        <f aca="false">S$3*$E170</f>
        <v>11.422125</v>
      </c>
      <c r="T170" s="185" t="n">
        <f aca="false">T$3*$E170</f>
        <v>12.3546221922693</v>
      </c>
      <c r="U170" s="185" t="n">
        <f aca="false">U$3*$E170</f>
        <v>13.1815783116228</v>
      </c>
      <c r="V170" s="185" t="n">
        <f aca="false">V$3*$E170</f>
        <v>13.8403752425955</v>
      </c>
      <c r="W170" s="185" t="n">
        <f aca="false">W$3*$E170</f>
        <v>14.3217995495321</v>
      </c>
      <c r="X170" s="185" t="n">
        <f aca="false">X$3*$E170</f>
        <v>14.6518589236832</v>
      </c>
      <c r="Y170" s="185" t="n">
        <f aca="false">Y$3*$E170</f>
        <v>14.8683638322211</v>
      </c>
      <c r="Z170" s="185" t="n">
        <f aca="false">Z$3*$E170</f>
        <v>15.0062946908861</v>
      </c>
      <c r="AA170" s="185" t="n">
        <f aca="false">AA$3*$E170</f>
        <v>15.0925395076912</v>
      </c>
      <c r="AB170" s="185" t="n">
        <f aca="false">AB$3*$E170</f>
        <v>15.1458371786037</v>
      </c>
      <c r="AC170" s="185" t="n">
        <f aca="false">AC$3*$E170</f>
        <v>15.1785356134243</v>
      </c>
      <c r="AD170" s="219" t="n">
        <f aca="false">Algae_electricity_factor/H170</f>
        <v>0.00180486517660189</v>
      </c>
      <c r="AE170" s="220" t="n">
        <f aca="false">Algae_electricity_factor/I170</f>
        <v>0.00180486517660189</v>
      </c>
      <c r="AF170" s="220" t="n">
        <f aca="false">Algae_electricity_factor/J170</f>
        <v>0.00180486517660189</v>
      </c>
      <c r="AG170" s="220" t="n">
        <f aca="false">Algae_electricity_factor/K170</f>
        <v>0.00180486517660189</v>
      </c>
      <c r="AH170" s="220" t="n">
        <f aca="false">Algae_electricity_factor/L170</f>
        <v>0.00180486517660189</v>
      </c>
      <c r="AI170" s="220" t="n">
        <f aca="false">Algae_electricity_factor/M170</f>
        <v>0.00172314358736097</v>
      </c>
      <c r="AJ170" s="220" t="n">
        <f aca="false">Algae_electricity_factor/N170</f>
        <v>0.0016776051064335</v>
      </c>
      <c r="AK170" s="220" t="n">
        <f aca="false">Algae_electricity_factor/O170</f>
        <v>0.00161263443928556</v>
      </c>
      <c r="AL170" s="220" t="n">
        <f aca="false">Algae_electricity_factor/P170</f>
        <v>0.00152640918202766</v>
      </c>
      <c r="AM170" s="220" t="n">
        <f aca="false">Algae_electricity_factor/Q170</f>
        <v>0.00142233923978405</v>
      </c>
      <c r="AN170" s="220" t="n">
        <f aca="false">Algae_electricity_factor/R170</f>
        <v>0.00131020827005897</v>
      </c>
      <c r="AO170" s="220" t="n">
        <f aca="false">Algae_electricity_factor/S170</f>
        <v>0.00120324345106793</v>
      </c>
      <c r="AP170" s="220" t="n">
        <f aca="false">Algae_electricity_factor/T170</f>
        <v>0.00111242552703304</v>
      </c>
      <c r="AQ170" s="220" t="n">
        <f aca="false">Algae_electricity_factor/U170</f>
        <v>0.00104263668421337</v>
      </c>
      <c r="AR170" s="220" t="n">
        <f aca="false">Algae_electricity_factor/V170</f>
        <v>0.000993007549479696</v>
      </c>
      <c r="AS170" s="220" t="n">
        <f aca="false">Algae_electricity_factor/W170</f>
        <v>0.000959627807664595</v>
      </c>
      <c r="AT170" s="220" t="n">
        <f aca="false">Algae_electricity_factor/X170</f>
        <v>0.000938010471921357</v>
      </c>
      <c r="AU170" s="220" t="n">
        <f aca="false">Algae_electricity_factor/Y170</f>
        <v>0.00092435168110062</v>
      </c>
      <c r="AV170" s="220" t="n">
        <f aca="false">Algae_electricity_factor/Z170</f>
        <v>0.000915855471762544</v>
      </c>
      <c r="AW170" s="220" t="n">
        <f aca="false">Algae_electricity_factor/AA170</f>
        <v>0.000910621906705993</v>
      </c>
      <c r="AX170" s="220" t="n">
        <f aca="false">Algae_electricity_factor/AB170</f>
        <v>0.000907417460088944</v>
      </c>
      <c r="AY170" s="220" t="n">
        <f aca="false">Algae_electricity_factor/AC170</f>
        <v>0.00090546265157319</v>
      </c>
      <c r="AZ170" s="211" t="n">
        <f aca="false">Algae_yield_cost_factor/H170</f>
        <v>0.0999169531877235</v>
      </c>
      <c r="BA170" s="18" t="n">
        <f aca="false">Algae_yield_cost_factor/I170</f>
        <v>0.0999169531877235</v>
      </c>
      <c r="BB170" s="18" t="n">
        <f aca="false">Algae_yield_cost_factor/J170</f>
        <v>0.0999169531877235</v>
      </c>
      <c r="BC170" s="18" t="n">
        <f aca="false">Algae_yield_cost_factor/K170</f>
        <v>0.0999169531877235</v>
      </c>
      <c r="BD170" s="18" t="n">
        <f aca="false">Algae_yield_cost_factor/L170</f>
        <v>0.0999169531877235</v>
      </c>
      <c r="BE170" s="18" t="n">
        <f aca="false">Algae_yield_cost_factor/M170</f>
        <v>0.095392863348512</v>
      </c>
      <c r="BF170" s="18" t="n">
        <f aca="false">Algae_yield_cost_factor/N170</f>
        <v>0.0928718627075463</v>
      </c>
      <c r="BG170" s="18" t="n">
        <f aca="false">Algae_yield_cost_factor/O170</f>
        <v>0.0892751003608879</v>
      </c>
      <c r="BH170" s="18" t="n">
        <f aca="false">Algae_yield_cost_factor/P170</f>
        <v>0.0845016884159266</v>
      </c>
      <c r="BI170" s="18" t="n">
        <f aca="false">Algae_yield_cost_factor/Q170</f>
        <v>0.078740398496764</v>
      </c>
      <c r="BJ170" s="18" t="n">
        <f aca="false">Algae_yield_cost_factor/R170</f>
        <v>0.0725328518067619</v>
      </c>
      <c r="BK170" s="18" t="n">
        <f aca="false">Algae_yield_cost_factor/S170</f>
        <v>0.066611302125149</v>
      </c>
      <c r="BL170" s="18" t="n">
        <f aca="false">Algae_yield_cost_factor/T170</f>
        <v>0.0615836411219682</v>
      </c>
      <c r="BM170" s="18" t="n">
        <f aca="false">Algae_yield_cost_factor/U170</f>
        <v>0.0577201455925309</v>
      </c>
      <c r="BN170" s="18" t="n">
        <f aca="false">Algae_yield_cost_factor/V170</f>
        <v>0.0549726872248829</v>
      </c>
      <c r="BO170" s="18" t="n">
        <f aca="false">Algae_yield_cost_factor/W170</f>
        <v>0.0531247918011166</v>
      </c>
      <c r="BP170" s="18" t="n">
        <f aca="false">Algae_yield_cost_factor/X170</f>
        <v>0.0519280606815285</v>
      </c>
      <c r="BQ170" s="18" t="n">
        <f aca="false">Algae_yield_cost_factor/Y170</f>
        <v>0.0511719129200619</v>
      </c>
      <c r="BR170" s="18" t="n">
        <f aca="false">Algae_yield_cost_factor/Z170</f>
        <v>0.0507015645739855</v>
      </c>
      <c r="BS170" s="18" t="n">
        <f aca="false">Algae_yield_cost_factor/AA170</f>
        <v>0.0504118355230074</v>
      </c>
      <c r="BT170" s="18" t="n">
        <f aca="false">Algae_yield_cost_factor/AB170</f>
        <v>0.050234438038265</v>
      </c>
      <c r="BU170" s="18" t="n">
        <f aca="false">Algae_yield_cost_factor/AC170</f>
        <v>0.0501262202536395</v>
      </c>
    </row>
    <row r="171" customFormat="false" ht="15" hidden="false" customHeight="false" outlineLevel="0" collapsed="false">
      <c r="A171" s="18" t="s">
        <v>714</v>
      </c>
      <c r="B171" s="18" t="s">
        <v>22</v>
      </c>
      <c r="C171" s="18" t="s">
        <v>694</v>
      </c>
      <c r="D171" s="18" t="s">
        <v>694</v>
      </c>
      <c r="E171" s="185" t="n">
        <v>7.755</v>
      </c>
      <c r="F171" s="18" t="n">
        <f aca="false">E171/$B$2*$F$3/1000</f>
        <v>0.01899975</v>
      </c>
      <c r="G171" s="18" t="n">
        <f aca="false">LOOKUP(RIGHT(D171,5),Ref!$C$4:$C$21,Ref!$E$4:$E$21)*$G$3</f>
        <v>3</v>
      </c>
      <c r="H171" s="222" t="n">
        <f aca="false">$E171</f>
        <v>7.755</v>
      </c>
      <c r="I171" s="185" t="n">
        <f aca="false">$E171</f>
        <v>7.755</v>
      </c>
      <c r="J171" s="185" t="n">
        <f aca="false">$E171</f>
        <v>7.755</v>
      </c>
      <c r="K171" s="185" t="n">
        <f aca="false">$E171</f>
        <v>7.755</v>
      </c>
      <c r="L171" s="185" t="n">
        <f aca="false">$E171</f>
        <v>7.755</v>
      </c>
      <c r="M171" s="185" t="n">
        <f aca="false">M$3*$E171</f>
        <v>8.12278764649203</v>
      </c>
      <c r="N171" s="185" t="n">
        <f aca="false">N$3*$E171</f>
        <v>8.34328018606474</v>
      </c>
      <c r="O171" s="185" t="n">
        <f aca="false">O$3*$E171</f>
        <v>8.67941866028152</v>
      </c>
      <c r="P171" s="185" t="n">
        <f aca="false">P$3*$E171</f>
        <v>9.16970993711829</v>
      </c>
      <c r="Q171" s="185" t="n">
        <f aca="false">Q$3*$E171</f>
        <v>9.84064072272431</v>
      </c>
      <c r="R171" s="185" t="n">
        <f aca="false">R$3*$E171</f>
        <v>10.6828278865296</v>
      </c>
      <c r="S171" s="185" t="n">
        <f aca="false">S$3*$E171</f>
        <v>11.6325</v>
      </c>
      <c r="T171" s="185" t="n">
        <f aca="false">T$3*$E171</f>
        <v>12.5821721134704</v>
      </c>
      <c r="U171" s="185" t="n">
        <f aca="false">U$3*$E171</f>
        <v>13.4243592772757</v>
      </c>
      <c r="V171" s="185" t="n">
        <f aca="false">V$3*$E171</f>
        <v>14.0952900628817</v>
      </c>
      <c r="W171" s="185" t="n">
        <f aca="false">W$3*$E171</f>
        <v>14.5855813397185</v>
      </c>
      <c r="X171" s="185" t="n">
        <f aca="false">X$3*$E171</f>
        <v>14.9217198139353</v>
      </c>
      <c r="Y171" s="185" t="n">
        <f aca="false">Y$3*$E171</f>
        <v>15.142212353508</v>
      </c>
      <c r="Z171" s="185" t="n">
        <f aca="false">Z$3*$E171</f>
        <v>15.2826836505232</v>
      </c>
      <c r="AA171" s="185" t="n">
        <f aca="false">AA$3*$E171</f>
        <v>15.370516941744</v>
      </c>
      <c r="AB171" s="185" t="n">
        <f aca="false">AB$3*$E171</f>
        <v>15.4247962598998</v>
      </c>
      <c r="AC171" s="185" t="n">
        <f aca="false">AC$3*$E171</f>
        <v>15.4580969410822</v>
      </c>
      <c r="AD171" s="219" t="n">
        <f aca="false">Algae_electricity_factor/H171</f>
        <v>0.00177222399787611</v>
      </c>
      <c r="AE171" s="220" t="n">
        <f aca="false">Algae_electricity_factor/I171</f>
        <v>0.00177222399787611</v>
      </c>
      <c r="AF171" s="220" t="n">
        <f aca="false">Algae_electricity_factor/J171</f>
        <v>0.00177222399787611</v>
      </c>
      <c r="AG171" s="220" t="n">
        <f aca="false">Algae_electricity_factor/K171</f>
        <v>0.00177222399787611</v>
      </c>
      <c r="AH171" s="220" t="n">
        <f aca="false">Algae_electricity_factor/L171</f>
        <v>0.00177222399787611</v>
      </c>
      <c r="AI171" s="220" t="n">
        <f aca="false">Algae_electricity_factor/M171</f>
        <v>0.0016919803522704</v>
      </c>
      <c r="AJ171" s="220" t="n">
        <f aca="false">Algae_electricity_factor/N171</f>
        <v>0.00164726543961502</v>
      </c>
      <c r="AK171" s="220" t="n">
        <f aca="false">Algae_electricity_factor/O171</f>
        <v>0.00158346977389422</v>
      </c>
      <c r="AL171" s="220" t="n">
        <f aca="false">Algae_electricity_factor/P171</f>
        <v>0.00149880390958674</v>
      </c>
      <c r="AM171" s="220" t="n">
        <f aca="false">Algae_electricity_factor/Q171</f>
        <v>0.00139661608331987</v>
      </c>
      <c r="AN171" s="220" t="n">
        <f aca="false">Algae_electricity_factor/R171</f>
        <v>0.00128651301411109</v>
      </c>
      <c r="AO171" s="220" t="n">
        <f aca="false">Algae_electricity_factor/S171</f>
        <v>0.00118148266525074</v>
      </c>
      <c r="AP171" s="220" t="n">
        <f aca="false">Algae_electricity_factor/T171</f>
        <v>0.0010923071930335</v>
      </c>
      <c r="AQ171" s="220" t="n">
        <f aca="false">Algae_electricity_factor/U171</f>
        <v>0.00102378048886057</v>
      </c>
      <c r="AR171" s="220" t="n">
        <f aca="false">Algae_electricity_factor/V171</f>
        <v>0.000975048902308255</v>
      </c>
      <c r="AS171" s="220" t="n">
        <f aca="false">Algae_electricity_factor/W171</f>
        <v>0.000942272836674917</v>
      </c>
      <c r="AT171" s="220" t="n">
        <f aca="false">Algae_electricity_factor/X171</f>
        <v>0.000921046452748311</v>
      </c>
      <c r="AU171" s="220" t="n">
        <f aca="false">Algae_electricity_factor/Y171</f>
        <v>0.00090763468261263</v>
      </c>
      <c r="AV171" s="220" t="n">
        <f aca="false">Algae_electricity_factor/Z171</f>
        <v>0.000899292128124285</v>
      </c>
      <c r="AW171" s="220" t="n">
        <f aca="false">Algae_electricity_factor/AA171</f>
        <v>0.000894153212648545</v>
      </c>
      <c r="AX171" s="220" t="n">
        <f aca="false">Algae_electricity_factor/AB171</f>
        <v>0.000891006718789463</v>
      </c>
      <c r="AY171" s="220" t="n">
        <f aca="false">Algae_electricity_factor/AC171</f>
        <v>0.000889087263193674</v>
      </c>
      <c r="AZ171" s="211" t="n">
        <f aca="false">Algae_yield_cost_factor/H171</f>
        <v>0.0981099444598604</v>
      </c>
      <c r="BA171" s="18" t="n">
        <f aca="false">Algae_yield_cost_factor/I171</f>
        <v>0.0981099444598604</v>
      </c>
      <c r="BB171" s="18" t="n">
        <f aca="false">Algae_yield_cost_factor/J171</f>
        <v>0.0981099444598604</v>
      </c>
      <c r="BC171" s="18" t="n">
        <f aca="false">Algae_yield_cost_factor/K171</f>
        <v>0.0981099444598604</v>
      </c>
      <c r="BD171" s="18" t="n">
        <f aca="false">Algae_yield_cost_factor/L171</f>
        <v>0.0981099444598604</v>
      </c>
      <c r="BE171" s="18" t="n">
        <f aca="false">Algae_yield_cost_factor/M171</f>
        <v>0.0936676732666773</v>
      </c>
      <c r="BF171" s="18" t="n">
        <f aca="false">Algae_yield_cost_factor/N171</f>
        <v>0.0911922651904949</v>
      </c>
      <c r="BG171" s="18" t="n">
        <f aca="false">Algae_yield_cost_factor/O171</f>
        <v>0.0876605506735101</v>
      </c>
      <c r="BH171" s="18" t="n">
        <f aca="false">Algae_yield_cost_factor/P171</f>
        <v>0.0829734663913833</v>
      </c>
      <c r="BI171" s="18" t="n">
        <f aca="false">Algae_yield_cost_factor/Q171</f>
        <v>0.0773163700133119</v>
      </c>
      <c r="BJ171" s="18" t="n">
        <f aca="false">Algae_yield_cost_factor/R171</f>
        <v>0.0712210874655758</v>
      </c>
      <c r="BK171" s="18" t="n">
        <f aca="false">Algae_yield_cost_factor/S171</f>
        <v>0.065406629639907</v>
      </c>
      <c r="BL171" s="18" t="n">
        <f aca="false">Algae_yield_cost_factor/T171</f>
        <v>0.0604698944208262</v>
      </c>
      <c r="BM171" s="18" t="n">
        <f aca="false">Algae_yield_cost_factor/U171</f>
        <v>0.056676270619049</v>
      </c>
      <c r="BN171" s="18" t="n">
        <f aca="false">Algae_yield_cost_factor/V171</f>
        <v>0.0539785003282627</v>
      </c>
      <c r="BO171" s="18" t="n">
        <f aca="false">Algae_yield_cost_factor/W171</f>
        <v>0.0521640242898199</v>
      </c>
      <c r="BP171" s="18" t="n">
        <f aca="false">Algae_yield_cost_factor/X171</f>
        <v>0.0509889361798413</v>
      </c>
      <c r="BQ171" s="18" t="n">
        <f aca="false">Algae_yield_cost_factor/Y171</f>
        <v>0.0502464634310821</v>
      </c>
      <c r="BR171" s="18" t="n">
        <f aca="false">Algae_yield_cost_factor/Z171</f>
        <v>0.0497846213848815</v>
      </c>
      <c r="BS171" s="18" t="n">
        <f aca="false">Algae_yield_cost_factor/AA171</f>
        <v>0.0495001321146126</v>
      </c>
      <c r="BT171" s="18" t="n">
        <f aca="false">Algae_yield_cost_factor/AB171</f>
        <v>0.0493259428822538</v>
      </c>
      <c r="BU171" s="18" t="n">
        <f aca="false">Algae_yield_cost_factor/AC171</f>
        <v>0.0492196822277758</v>
      </c>
    </row>
    <row r="172" customFormat="false" ht="15" hidden="false" customHeight="false" outlineLevel="0" collapsed="false">
      <c r="A172" s="18" t="s">
        <v>714</v>
      </c>
      <c r="B172" s="18" t="s">
        <v>22</v>
      </c>
      <c r="C172" s="18" t="s">
        <v>682</v>
      </c>
      <c r="D172" s="18" t="s">
        <v>682</v>
      </c>
      <c r="E172" s="185" t="n">
        <v>8.2005</v>
      </c>
      <c r="F172" s="18" t="n">
        <f aca="false">E172/$B$2*$F$3/1000</f>
        <v>0.020091225</v>
      </c>
      <c r="G172" s="18" t="n">
        <f aca="false">LOOKUP(RIGHT(D172,5),Ref!$C$4:$C$21,Ref!$E$4:$E$21)*$G$3</f>
        <v>3</v>
      </c>
      <c r="H172" s="222" t="n">
        <f aca="false">$E172</f>
        <v>8.2005</v>
      </c>
      <c r="I172" s="185" t="n">
        <f aca="false">$E172</f>
        <v>8.2005</v>
      </c>
      <c r="J172" s="185" t="n">
        <f aca="false">$E172</f>
        <v>8.2005</v>
      </c>
      <c r="K172" s="185" t="n">
        <f aca="false">$E172</f>
        <v>8.2005</v>
      </c>
      <c r="L172" s="185" t="n">
        <f aca="false">$E172</f>
        <v>8.2005</v>
      </c>
      <c r="M172" s="185" t="n">
        <f aca="false">M$3*$E172</f>
        <v>8.58941587299264</v>
      </c>
      <c r="N172" s="185" t="n">
        <f aca="false">N$3*$E172</f>
        <v>8.82257500526421</v>
      </c>
      <c r="O172" s="185" t="n">
        <f aca="false">O$3*$E172</f>
        <v>9.17802356204238</v>
      </c>
      <c r="P172" s="185" t="n">
        <f aca="false">P$3*$E172</f>
        <v>9.69648050797403</v>
      </c>
      <c r="Q172" s="185" t="n">
        <f aca="false">Q$3*$E172</f>
        <v>10.4059541259446</v>
      </c>
      <c r="R172" s="185" t="n">
        <f aca="false">R$3*$E172</f>
        <v>11.2965222544792</v>
      </c>
      <c r="S172" s="185" t="n">
        <f aca="false">S$3*$E172</f>
        <v>12.30075</v>
      </c>
      <c r="T172" s="185" t="n">
        <f aca="false">T$3*$E172</f>
        <v>13.3049777455208</v>
      </c>
      <c r="U172" s="185" t="n">
        <f aca="false">U$3*$E172</f>
        <v>14.1955458740554</v>
      </c>
      <c r="V172" s="185" t="n">
        <f aca="false">V$3*$E172</f>
        <v>14.905019492026</v>
      </c>
      <c r="W172" s="185" t="n">
        <f aca="false">W$3*$E172</f>
        <v>15.4234764379576</v>
      </c>
      <c r="X172" s="185" t="n">
        <f aca="false">X$3*$E172</f>
        <v>15.7789249947358</v>
      </c>
      <c r="Y172" s="185" t="n">
        <f aca="false">Y$3*$E172</f>
        <v>16.0120841270074</v>
      </c>
      <c r="Z172" s="185" t="n">
        <f aca="false">Z$3*$E172</f>
        <v>16.1606250517235</v>
      </c>
      <c r="AA172" s="185" t="n">
        <f aca="false">AA$3*$E172</f>
        <v>16.2535040852059</v>
      </c>
      <c r="AB172" s="185" t="n">
        <f aca="false">AB$3*$E172</f>
        <v>16.3109015769578</v>
      </c>
      <c r="AC172" s="185" t="n">
        <f aca="false">AC$3*$E172</f>
        <v>16.3461152759954</v>
      </c>
      <c r="AD172" s="219" t="n">
        <f aca="false">Algae_electricity_factor/H172</f>
        <v>0.00167594623541604</v>
      </c>
      <c r="AE172" s="220" t="n">
        <f aca="false">Algae_electricity_factor/I172</f>
        <v>0.00167594623541604</v>
      </c>
      <c r="AF172" s="220" t="n">
        <f aca="false">Algae_electricity_factor/J172</f>
        <v>0.00167594623541604</v>
      </c>
      <c r="AG172" s="220" t="n">
        <f aca="false">Algae_electricity_factor/K172</f>
        <v>0.00167594623541604</v>
      </c>
      <c r="AH172" s="220" t="n">
        <f aca="false">Algae_electricity_factor/L172</f>
        <v>0.00167594623541604</v>
      </c>
      <c r="AI172" s="220" t="n">
        <f aca="false">Algae_electricity_factor/M172</f>
        <v>0.00160006190254948</v>
      </c>
      <c r="AJ172" s="220" t="n">
        <f aca="false">Algae_electricity_factor/N172</f>
        <v>0.00155777617025968</v>
      </c>
      <c r="AK172" s="220" t="n">
        <f aca="false">Algae_electricity_factor/O172</f>
        <v>0.00149744626505087</v>
      </c>
      <c r="AL172" s="220" t="n">
        <f aca="false">Algae_electricity_factor/P172</f>
        <v>0.00141737995473997</v>
      </c>
      <c r="AM172" s="220" t="n">
        <f aca="false">Algae_electricity_factor/Q172</f>
        <v>0.00132074357979948</v>
      </c>
      <c r="AN172" s="220" t="n">
        <f aca="false">Algae_electricity_factor/R172</f>
        <v>0.00121662196505476</v>
      </c>
      <c r="AO172" s="220" t="n">
        <f aca="false">Algae_electricity_factor/S172</f>
        <v>0.00111729749027736</v>
      </c>
      <c r="AP172" s="220" t="n">
        <f aca="false">Algae_electricity_factor/T172</f>
        <v>0.00103296656081639</v>
      </c>
      <c r="AQ172" s="220" t="n">
        <f aca="false">Algae_electricity_factor/U172</f>
        <v>0.000968162635340984</v>
      </c>
      <c r="AR172" s="220" t="n">
        <f aca="false">Algae_electricity_factor/V172</f>
        <v>0.000922078438802575</v>
      </c>
      <c r="AS172" s="220" t="n">
        <f aca="false">Algae_electricity_factor/W172</f>
        <v>0.000891082964259982</v>
      </c>
      <c r="AT172" s="220" t="n">
        <f aca="false">Algae_electricity_factor/X172</f>
        <v>0.000871009723926974</v>
      </c>
      <c r="AU172" s="220" t="n">
        <f aca="false">Algae_electricity_factor/Y172</f>
        <v>0.000858326561022005</v>
      </c>
      <c r="AV172" s="220" t="n">
        <f aca="false">Algae_electricity_factor/Z172</f>
        <v>0.000850437223779505</v>
      </c>
      <c r="AW172" s="220" t="n">
        <f aca="false">Algae_electricity_factor/AA172</f>
        <v>0.000845577484798422</v>
      </c>
      <c r="AX172" s="220" t="n">
        <f aca="false">Algae_electricity_factor/AB172</f>
        <v>0.000842601927225448</v>
      </c>
      <c r="AY172" s="220" t="n">
        <f aca="false">Algae_electricity_factor/AC172</f>
        <v>0.00084078674788939</v>
      </c>
      <c r="AZ172" s="211" t="n">
        <f aca="false">Algae_yield_cost_factor/H172</f>
        <v>0.092780027960029</v>
      </c>
      <c r="BA172" s="18" t="n">
        <f aca="false">Algae_yield_cost_factor/I172</f>
        <v>0.092780027960029</v>
      </c>
      <c r="BB172" s="18" t="n">
        <f aca="false">Algae_yield_cost_factor/J172</f>
        <v>0.092780027960029</v>
      </c>
      <c r="BC172" s="18" t="n">
        <f aca="false">Algae_yield_cost_factor/K172</f>
        <v>0.092780027960029</v>
      </c>
      <c r="BD172" s="18" t="n">
        <f aca="false">Algae_yield_cost_factor/L172</f>
        <v>0.092780027960029</v>
      </c>
      <c r="BE172" s="18" t="n">
        <f aca="false">Algae_yield_cost_factor/M172</f>
        <v>0.0885790873950469</v>
      </c>
      <c r="BF172" s="18" t="n">
        <f aca="false">Algae_yield_cost_factor/N172</f>
        <v>0.0862381582284358</v>
      </c>
      <c r="BG172" s="18" t="n">
        <f aca="false">Algae_yield_cost_factor/O172</f>
        <v>0.0828983074779673</v>
      </c>
      <c r="BH172" s="18" t="n">
        <f aca="false">Algae_yield_cost_factor/P172</f>
        <v>0.0784658535290747</v>
      </c>
      <c r="BI172" s="18" t="n">
        <f aca="false">Algae_yield_cost_factor/Q172</f>
        <v>0.0731160843184237</v>
      </c>
      <c r="BJ172" s="18" t="n">
        <f aca="false">Algae_yield_cost_factor/R172</f>
        <v>0.0673519338205646</v>
      </c>
      <c r="BK172" s="18" t="n">
        <f aca="false">Algae_yield_cost_factor/S172</f>
        <v>0.0618533519733527</v>
      </c>
      <c r="BL172" s="18" t="n">
        <f aca="false">Algae_yield_cost_factor/T172</f>
        <v>0.0571848096132562</v>
      </c>
      <c r="BM172" s="18" t="n">
        <f aca="false">Algae_yield_cost_factor/U172</f>
        <v>0.0535972780502073</v>
      </c>
      <c r="BN172" s="18" t="n">
        <f aca="false">Algae_yield_cost_factor/V172</f>
        <v>0.0510460667088198</v>
      </c>
      <c r="BO172" s="18" t="n">
        <f aca="false">Algae_yield_cost_factor/W172</f>
        <v>0.0493301638153226</v>
      </c>
      <c r="BP172" s="18" t="n">
        <f aca="false">Algae_yield_cost_factor/X172</f>
        <v>0.0482189134899907</v>
      </c>
      <c r="BQ172" s="18" t="n">
        <f aca="false">Algae_yield_cost_factor/Y172</f>
        <v>0.0475167762829147</v>
      </c>
      <c r="BR172" s="18" t="n">
        <f aca="false">Algae_yield_cost_factor/Z172</f>
        <v>0.0470800242472722</v>
      </c>
      <c r="BS172" s="18" t="n">
        <f aca="false">Algae_yield_cost_factor/AA172</f>
        <v>0.0468109901285069</v>
      </c>
      <c r="BT172" s="18" t="n">
        <f aca="false">Algae_yield_cost_factor/AB172</f>
        <v>0.0466462638926747</v>
      </c>
      <c r="BU172" s="18" t="n">
        <f aca="false">Algae_yield_cost_factor/AC172</f>
        <v>0.0465457759498081</v>
      </c>
    </row>
    <row r="173" customFormat="false" ht="15" hidden="false" customHeight="false" outlineLevel="0" collapsed="false">
      <c r="A173" s="18" t="s">
        <v>714</v>
      </c>
      <c r="B173" s="18" t="s">
        <v>22</v>
      </c>
      <c r="C173" s="18" t="s">
        <v>683</v>
      </c>
      <c r="D173" s="18" t="s">
        <v>683</v>
      </c>
      <c r="E173" s="185" t="n">
        <v>7.524</v>
      </c>
      <c r="F173" s="18" t="n">
        <f aca="false">E173/$B$2*$F$3/1000</f>
        <v>0.0184338</v>
      </c>
      <c r="G173" s="18" t="n">
        <f aca="false">LOOKUP(RIGHT(D173,5),Ref!$C$4:$C$21,Ref!$E$4:$E$21)*$G$3</f>
        <v>3</v>
      </c>
      <c r="H173" s="222" t="n">
        <f aca="false">$E173</f>
        <v>7.524</v>
      </c>
      <c r="I173" s="185" t="n">
        <f aca="false">$E173</f>
        <v>7.524</v>
      </c>
      <c r="J173" s="185" t="n">
        <f aca="false">$E173</f>
        <v>7.524</v>
      </c>
      <c r="K173" s="185" t="n">
        <f aca="false">$E173</f>
        <v>7.524</v>
      </c>
      <c r="L173" s="185" t="n">
        <f aca="false">$E173</f>
        <v>7.524</v>
      </c>
      <c r="M173" s="185" t="n">
        <f aca="false">M$3*$E173</f>
        <v>7.88083226978801</v>
      </c>
      <c r="N173" s="185" t="n">
        <f aca="false">N$3*$E173</f>
        <v>8.09475694647984</v>
      </c>
      <c r="O173" s="185" t="n">
        <f aca="false">O$3*$E173</f>
        <v>8.42088278529441</v>
      </c>
      <c r="P173" s="185" t="n">
        <f aca="false">P$3*$E173</f>
        <v>8.89656964111903</v>
      </c>
      <c r="Q173" s="185" t="n">
        <f aca="false">Q$3*$E173</f>
        <v>9.54751525438785</v>
      </c>
      <c r="R173" s="185" t="n">
        <f aca="false">R$3*$E173</f>
        <v>10.3646159920372</v>
      </c>
      <c r="S173" s="185" t="n">
        <f aca="false">S$3*$E173</f>
        <v>11.286</v>
      </c>
      <c r="T173" s="185" t="n">
        <f aca="false">T$3*$E173</f>
        <v>12.2073840079628</v>
      </c>
      <c r="U173" s="185" t="n">
        <f aca="false">U$3*$E173</f>
        <v>13.0244847456122</v>
      </c>
      <c r="V173" s="185" t="n">
        <f aca="false">V$3*$E173</f>
        <v>13.675430358881</v>
      </c>
      <c r="W173" s="185" t="n">
        <f aca="false">W$3*$E173</f>
        <v>14.1511172147056</v>
      </c>
      <c r="X173" s="185" t="n">
        <f aca="false">X$3*$E173</f>
        <v>14.4772430535202</v>
      </c>
      <c r="Y173" s="185" t="n">
        <f aca="false">Y$3*$E173</f>
        <v>14.691167730212</v>
      </c>
      <c r="Z173" s="185" t="n">
        <f aca="false">Z$3*$E173</f>
        <v>14.8274547758268</v>
      </c>
      <c r="AA173" s="185" t="n">
        <f aca="false">AA$3*$E173</f>
        <v>14.9126717562452</v>
      </c>
      <c r="AB173" s="185" t="n">
        <f aca="false">AB$3*$E173</f>
        <v>14.9653342436474</v>
      </c>
      <c r="AC173" s="185" t="n">
        <f aca="false">AC$3*$E173</f>
        <v>14.9976429896457</v>
      </c>
      <c r="AD173" s="219" t="n">
        <f aca="false">Algae_electricity_factor/H173</f>
        <v>0.00182663438377582</v>
      </c>
      <c r="AE173" s="220" t="n">
        <f aca="false">Algae_electricity_factor/I173</f>
        <v>0.00182663438377582</v>
      </c>
      <c r="AF173" s="220" t="n">
        <f aca="false">Algae_electricity_factor/J173</f>
        <v>0.00182663438377582</v>
      </c>
      <c r="AG173" s="220" t="n">
        <f aca="false">Algae_electricity_factor/K173</f>
        <v>0.00182663438377582</v>
      </c>
      <c r="AH173" s="220" t="n">
        <f aca="false">Algae_electricity_factor/L173</f>
        <v>0.00182663438377582</v>
      </c>
      <c r="AI173" s="220" t="n">
        <f aca="false">Algae_electricity_factor/M173</f>
        <v>0.00174392711747169</v>
      </c>
      <c r="AJ173" s="220" t="n">
        <f aca="false">Algae_electricity_factor/N173</f>
        <v>0.00169783937855057</v>
      </c>
      <c r="AK173" s="220" t="n">
        <f aca="false">Algae_electricity_factor/O173</f>
        <v>0.00163208507396992</v>
      </c>
      <c r="AL173" s="220" t="n">
        <f aca="false">Algae_electricity_factor/P173</f>
        <v>0.00154481981909159</v>
      </c>
      <c r="AM173" s="220" t="n">
        <f aca="false">Algae_electricity_factor/Q173</f>
        <v>0.00143949464728145</v>
      </c>
      <c r="AN173" s="220" t="n">
        <f aca="false">Algae_electricity_factor/R173</f>
        <v>0.00132601122068468</v>
      </c>
      <c r="AO173" s="220" t="n">
        <f aca="false">Algae_electricity_factor/S173</f>
        <v>0.00121775625585055</v>
      </c>
      <c r="AP173" s="220" t="n">
        <f aca="false">Algae_electricity_factor/T173</f>
        <v>0.00112584294018804</v>
      </c>
      <c r="AQ173" s="220" t="n">
        <f aca="false">Algae_electricity_factor/U173</f>
        <v>0.00105521234597471</v>
      </c>
      <c r="AR173" s="220" t="n">
        <f aca="false">Algae_electricity_factor/V173</f>
        <v>0.00100498461422123</v>
      </c>
      <c r="AS173" s="220" t="n">
        <f aca="false">Algae_electricity_factor/W173</f>
        <v>0.000971202265871076</v>
      </c>
      <c r="AT173" s="220" t="n">
        <f aca="false">Algae_electricity_factor/X173</f>
        <v>0.000949324194718654</v>
      </c>
      <c r="AU173" s="220" t="n">
        <f aca="false">Algae_electricity_factor/Y173</f>
        <v>0.000935500659710387</v>
      </c>
      <c r="AV173" s="220" t="n">
        <f aca="false">Algae_electricity_factor/Z173</f>
        <v>0.000926901974163189</v>
      </c>
      <c r="AW173" s="220" t="n">
        <f aca="false">Algae_electricity_factor/AA173</f>
        <v>0.000921605284966702</v>
      </c>
      <c r="AX173" s="220" t="n">
        <f aca="false">Algae_electricity_factor/AB173</f>
        <v>0.000918362188225982</v>
      </c>
      <c r="AY173" s="220" t="n">
        <f aca="false">Algae_electricity_factor/AC173</f>
        <v>0.000916383801975936</v>
      </c>
      <c r="AZ173" s="211" t="n">
        <f aca="false">Algae_yield_cost_factor/H173</f>
        <v>0.101122091877488</v>
      </c>
      <c r="BA173" s="18" t="n">
        <f aca="false">Algae_yield_cost_factor/I173</f>
        <v>0.101122091877488</v>
      </c>
      <c r="BB173" s="18" t="n">
        <f aca="false">Algae_yield_cost_factor/J173</f>
        <v>0.101122091877488</v>
      </c>
      <c r="BC173" s="18" t="n">
        <f aca="false">Algae_yield_cost_factor/K173</f>
        <v>0.101122091877488</v>
      </c>
      <c r="BD173" s="18" t="n">
        <f aca="false">Algae_yield_cost_factor/L173</f>
        <v>0.101122091877488</v>
      </c>
      <c r="BE173" s="18" t="n">
        <f aca="false">Algae_yield_cost_factor/M173</f>
        <v>0.0965434351652156</v>
      </c>
      <c r="BF173" s="18" t="n">
        <f aca="false">Algae_yield_cost_factor/N173</f>
        <v>0.0939920277182733</v>
      </c>
      <c r="BG173" s="18" t="n">
        <f aca="false">Algae_yield_cost_factor/O173</f>
        <v>0.0903518833696267</v>
      </c>
      <c r="BH173" s="18" t="n">
        <f aca="false">Algae_yield_cost_factor/P173</f>
        <v>0.0855208973770836</v>
      </c>
      <c r="BI173" s="18" t="n">
        <f aca="false">Algae_yield_cost_factor/Q173</f>
        <v>0.079690118215475</v>
      </c>
      <c r="BJ173" s="18" t="n">
        <f aca="false">Algae_yield_cost_factor/R173</f>
        <v>0.0734076998000452</v>
      </c>
      <c r="BK173" s="18" t="n">
        <f aca="false">Algae_yield_cost_factor/S173</f>
        <v>0.0674147279183252</v>
      </c>
      <c r="BL173" s="18" t="n">
        <f aca="false">Algae_yield_cost_factor/T173</f>
        <v>0.0623264262670797</v>
      </c>
      <c r="BM173" s="18" t="n">
        <f aca="false">Algae_yield_cost_factor/U173</f>
        <v>0.0584163315591075</v>
      </c>
      <c r="BN173" s="18" t="n">
        <f aca="false">Algae_yield_cost_factor/V173</f>
        <v>0.0556357349874637</v>
      </c>
      <c r="BO173" s="18" t="n">
        <f aca="false">Algae_yield_cost_factor/W173</f>
        <v>0.0537655513513494</v>
      </c>
      <c r="BP173" s="18" t="n">
        <f aca="false">Algae_yield_cost_factor/X173</f>
        <v>0.0525543859748364</v>
      </c>
      <c r="BQ173" s="18" t="n">
        <f aca="false">Algae_yield_cost_factor/Y173</f>
        <v>0.0517891180101065</v>
      </c>
      <c r="BR173" s="18" t="n">
        <f aca="false">Algae_yield_cost_factor/Z173</f>
        <v>0.0513130966028384</v>
      </c>
      <c r="BS173" s="18" t="n">
        <f aca="false">Algae_yield_cost_factor/AA173</f>
        <v>0.0510198730128682</v>
      </c>
      <c r="BT173" s="18" t="n">
        <f aca="false">Algae_yield_cost_factor/AB173</f>
        <v>0.0508403358654809</v>
      </c>
      <c r="BU173" s="18" t="n">
        <f aca="false">Algae_yield_cost_factor/AC173</f>
        <v>0.0507308128224882</v>
      </c>
    </row>
    <row r="174" customFormat="false" ht="15" hidden="false" customHeight="false" outlineLevel="0" collapsed="false">
      <c r="A174" s="18" t="s">
        <v>714</v>
      </c>
      <c r="B174" s="18" t="s">
        <v>22</v>
      </c>
      <c r="C174" s="18" t="s">
        <v>684</v>
      </c>
      <c r="D174" s="18" t="s">
        <v>684</v>
      </c>
      <c r="E174" s="185" t="n">
        <v>7.69725</v>
      </c>
      <c r="F174" s="18" t="n">
        <f aca="false">E174/$B$2*$F$3/1000</f>
        <v>0.0188582625</v>
      </c>
      <c r="G174" s="18" t="n">
        <f aca="false">LOOKUP(RIGHT(D174,5),Ref!$C$4:$C$21,Ref!$E$4:$E$21)*$G$3</f>
        <v>3.5</v>
      </c>
      <c r="H174" s="222" t="n">
        <f aca="false">$E174</f>
        <v>7.69725</v>
      </c>
      <c r="I174" s="185" t="n">
        <f aca="false">$E174</f>
        <v>7.69725</v>
      </c>
      <c r="J174" s="185" t="n">
        <f aca="false">$E174</f>
        <v>7.69725</v>
      </c>
      <c r="K174" s="185" t="n">
        <f aca="false">$E174</f>
        <v>7.69725</v>
      </c>
      <c r="L174" s="185" t="n">
        <f aca="false">$E174</f>
        <v>7.69725</v>
      </c>
      <c r="M174" s="185" t="n">
        <f aca="false">M$3*$E174</f>
        <v>8.06229880231603</v>
      </c>
      <c r="N174" s="185" t="n">
        <f aca="false">N$3*$E174</f>
        <v>8.28114937616852</v>
      </c>
      <c r="O174" s="185" t="n">
        <f aca="false">O$3*$E174</f>
        <v>8.61478469153474</v>
      </c>
      <c r="P174" s="185" t="n">
        <f aca="false">P$3*$E174</f>
        <v>9.10142486311848</v>
      </c>
      <c r="Q174" s="185" t="n">
        <f aca="false">Q$3*$E174</f>
        <v>9.7673593556402</v>
      </c>
      <c r="R174" s="185" t="n">
        <f aca="false">R$3*$E174</f>
        <v>10.6032749129065</v>
      </c>
      <c r="S174" s="185" t="n">
        <f aca="false">S$3*$E174</f>
        <v>11.545875</v>
      </c>
      <c r="T174" s="185" t="n">
        <f aca="false">T$3*$E174</f>
        <v>12.4884750870935</v>
      </c>
      <c r="U174" s="185" t="n">
        <f aca="false">U$3*$E174</f>
        <v>13.3243906443598</v>
      </c>
      <c r="V174" s="185" t="n">
        <f aca="false">V$3*$E174</f>
        <v>13.9903251368815</v>
      </c>
      <c r="W174" s="185" t="n">
        <f aca="false">W$3*$E174</f>
        <v>14.4769653084653</v>
      </c>
      <c r="X174" s="185" t="n">
        <f aca="false">X$3*$E174</f>
        <v>14.8106006238315</v>
      </c>
      <c r="Y174" s="185" t="n">
        <f aca="false">Y$3*$E174</f>
        <v>15.029451197684</v>
      </c>
      <c r="Z174" s="185" t="n">
        <f aca="false">Z$3*$E174</f>
        <v>15.1688764318491</v>
      </c>
      <c r="AA174" s="185" t="n">
        <f aca="false">AA$3*$E174</f>
        <v>15.2560556453693</v>
      </c>
      <c r="AB174" s="185" t="n">
        <f aca="false">AB$3*$E174</f>
        <v>15.3099307558367</v>
      </c>
      <c r="AC174" s="185" t="n">
        <f aca="false">AC$3*$E174</f>
        <v>15.3429834532231</v>
      </c>
      <c r="AD174" s="219" t="n">
        <f aca="false">Algae_electricity_factor/H174</f>
        <v>0.00178552042658472</v>
      </c>
      <c r="AE174" s="220" t="n">
        <f aca="false">Algae_electricity_factor/I174</f>
        <v>0.00178552042658472</v>
      </c>
      <c r="AF174" s="220" t="n">
        <f aca="false">Algae_electricity_factor/J174</f>
        <v>0.00178552042658472</v>
      </c>
      <c r="AG174" s="220" t="n">
        <f aca="false">Algae_electricity_factor/K174</f>
        <v>0.00178552042658472</v>
      </c>
      <c r="AH174" s="220" t="n">
        <f aca="false">Algae_electricity_factor/L174</f>
        <v>0.00178552042658472</v>
      </c>
      <c r="AI174" s="220" t="n">
        <f aca="false">Algae_electricity_factor/M174</f>
        <v>0.00170467473862184</v>
      </c>
      <c r="AJ174" s="220" t="n">
        <f aca="false">Algae_electricity_factor/N174</f>
        <v>0.00165962434430667</v>
      </c>
      <c r="AK174" s="220" t="n">
        <f aca="false">Algae_electricity_factor/O174</f>
        <v>0.00159535004015066</v>
      </c>
      <c r="AL174" s="220" t="n">
        <f aca="false">Algae_electricity_factor/P174</f>
        <v>0.00151004895499628</v>
      </c>
      <c r="AM174" s="220" t="n">
        <f aca="false">Algae_electricity_factor/Q174</f>
        <v>0.00140709444621723</v>
      </c>
      <c r="AN174" s="220" t="n">
        <f aca="false">Algae_electricity_factor/R174</f>
        <v>0.00129616530896509</v>
      </c>
      <c r="AO174" s="220" t="n">
        <f aca="false">Algae_electricity_factor/S174</f>
        <v>0.00119034695105648</v>
      </c>
      <c r="AP174" s="220" t="n">
        <f aca="false">Algae_electricity_factor/T174</f>
        <v>0.0011005024238494</v>
      </c>
      <c r="AQ174" s="220" t="n">
        <f aca="false">Algae_electricity_factor/U174</f>
        <v>0.00103146158577592</v>
      </c>
      <c r="AR174" s="220" t="n">
        <f aca="false">Algae_electricity_factor/V174</f>
        <v>0.000982364381746795</v>
      </c>
      <c r="AS174" s="220" t="n">
        <f aca="false">Algae_electricity_factor/W174</f>
        <v>0.000949342407796808</v>
      </c>
      <c r="AT174" s="220" t="n">
        <f aca="false">Algae_electricity_factor/X174</f>
        <v>0.000927956769114054</v>
      </c>
      <c r="AU174" s="220" t="n">
        <f aca="false">Algae_electricity_factor/Y174</f>
        <v>0.000914444374765137</v>
      </c>
      <c r="AV174" s="220" t="n">
        <f aca="false">Algae_electricity_factor/Z174</f>
        <v>0.000906039228764017</v>
      </c>
      <c r="AW174" s="220" t="n">
        <f aca="false">Algae_electricity_factor/AA174</f>
        <v>0.000900861757652338</v>
      </c>
      <c r="AX174" s="220" t="n">
        <f aca="false">Algae_electricity_factor/AB174</f>
        <v>0.000897691656658194</v>
      </c>
      <c r="AY174" s="220" t="n">
        <f aca="false">Algae_electricity_factor/AC174</f>
        <v>0.000895757800002201</v>
      </c>
      <c r="AZ174" s="211" t="n">
        <f aca="false">Algae_yield_cost_factor/H174</f>
        <v>0.0988460319316922</v>
      </c>
      <c r="BA174" s="18" t="n">
        <f aca="false">Algae_yield_cost_factor/I174</f>
        <v>0.0988460319316922</v>
      </c>
      <c r="BB174" s="18" t="n">
        <f aca="false">Algae_yield_cost_factor/J174</f>
        <v>0.0988460319316922</v>
      </c>
      <c r="BC174" s="18" t="n">
        <f aca="false">Algae_yield_cost_factor/K174</f>
        <v>0.0988460319316922</v>
      </c>
      <c r="BD174" s="18" t="n">
        <f aca="false">Algae_yield_cost_factor/L174</f>
        <v>0.0988460319316922</v>
      </c>
      <c r="BE174" s="18" t="n">
        <f aca="false">Algae_yield_cost_factor/M174</f>
        <v>0.0943704318013683</v>
      </c>
      <c r="BF174" s="18" t="n">
        <f aca="false">Algae_yield_cost_factor/N174</f>
        <v>0.0918764515316883</v>
      </c>
      <c r="BG174" s="18" t="n">
        <f aca="false">Algae_yield_cost_factor/O174</f>
        <v>0.0883182396924968</v>
      </c>
      <c r="BH174" s="18" t="n">
        <f aca="false">Algae_yield_cost_factor/P174</f>
        <v>0.0835959897190785</v>
      </c>
      <c r="BI174" s="18" t="n">
        <f aca="false">Algae_yield_cost_factor/Q174</f>
        <v>0.0778964499598212</v>
      </c>
      <c r="BJ174" s="18" t="n">
        <f aca="false">Algae_yield_cost_factor/R174</f>
        <v>0.0717554364604943</v>
      </c>
      <c r="BK174" s="18" t="n">
        <f aca="false">Algae_yield_cost_factor/S174</f>
        <v>0.0658973546211281</v>
      </c>
      <c r="BL174" s="18" t="n">
        <f aca="false">Algae_yield_cost_factor/T174</f>
        <v>0.060923580659782</v>
      </c>
      <c r="BM174" s="18" t="n">
        <f aca="false">Algae_yield_cost_factor/U174</f>
        <v>0.0571014945143688</v>
      </c>
      <c r="BN174" s="18" t="n">
        <f aca="false">Algae_yield_cost_factor/V174</f>
        <v>0.0543834837176494</v>
      </c>
      <c r="BO174" s="18" t="n">
        <f aca="false">Algae_yield_cost_factor/W174</f>
        <v>0.0525553942469782</v>
      </c>
      <c r="BP174" s="18" t="n">
        <f aca="false">Algae_yield_cost_factor/X174</f>
        <v>0.0513714898274928</v>
      </c>
      <c r="BQ174" s="18" t="n">
        <f aca="false">Algae_yield_cost_factor/Y174</f>
        <v>0.0506234465436411</v>
      </c>
      <c r="BR174" s="18" t="n">
        <f aca="false">Algae_yield_cost_factor/Z174</f>
        <v>0.0501581394445751</v>
      </c>
      <c r="BS174" s="18" t="n">
        <f aca="false">Algae_yield_cost_factor/AA174</f>
        <v>0.0498715157424821</v>
      </c>
      <c r="BT174" s="18" t="n">
        <f aca="false">Algae_yield_cost_factor/AB174</f>
        <v>0.0496960196241357</v>
      </c>
      <c r="BU174" s="18" t="n">
        <f aca="false">Algae_yield_cost_factor/AC174</f>
        <v>0.0495889617300206</v>
      </c>
    </row>
    <row r="175" customFormat="false" ht="15" hidden="false" customHeight="false" outlineLevel="0" collapsed="false">
      <c r="A175" s="18" t="s">
        <v>714</v>
      </c>
      <c r="B175" s="18" t="s">
        <v>22</v>
      </c>
      <c r="C175" s="18" t="s">
        <v>685</v>
      </c>
      <c r="D175" s="18" t="s">
        <v>685</v>
      </c>
      <c r="E175" s="185" t="n">
        <v>8.5965</v>
      </c>
      <c r="F175" s="18" t="n">
        <f aca="false">E175/$B$2*$F$3/1000</f>
        <v>0.021061425</v>
      </c>
      <c r="G175" s="18" t="n">
        <f aca="false">LOOKUP(RIGHT(D175,5),Ref!$C$4:$C$21,Ref!$E$4:$E$21)*$G$3</f>
        <v>4</v>
      </c>
      <c r="H175" s="222" t="n">
        <f aca="false">$E175</f>
        <v>8.5965</v>
      </c>
      <c r="I175" s="185" t="n">
        <f aca="false">$E175</f>
        <v>8.5965</v>
      </c>
      <c r="J175" s="185" t="n">
        <f aca="false">$E175</f>
        <v>8.5965</v>
      </c>
      <c r="K175" s="185" t="n">
        <f aca="false">$E175</f>
        <v>8.5965</v>
      </c>
      <c r="L175" s="185" t="n">
        <f aca="false">$E175</f>
        <v>8.5965</v>
      </c>
      <c r="M175" s="185" t="n">
        <f aca="false">M$3*$E175</f>
        <v>9.00419651877095</v>
      </c>
      <c r="N175" s="185" t="n">
        <f aca="false">N$3*$E175</f>
        <v>9.24861484455262</v>
      </c>
      <c r="O175" s="185" t="n">
        <f aca="false">O$3*$E175</f>
        <v>9.62122791916313</v>
      </c>
      <c r="P175" s="185" t="n">
        <f aca="false">P$3*$E175</f>
        <v>10.1647210154013</v>
      </c>
      <c r="Q175" s="185" t="n">
        <f aca="false">Q$3*$E175</f>
        <v>10.9084549288072</v>
      </c>
      <c r="R175" s="185" t="n">
        <f aca="false">R$3*$E175</f>
        <v>11.8420283593233</v>
      </c>
      <c r="S175" s="185" t="n">
        <f aca="false">S$3*$E175</f>
        <v>12.89475</v>
      </c>
      <c r="T175" s="185" t="n">
        <f aca="false">T$3*$E175</f>
        <v>13.9474716406767</v>
      </c>
      <c r="U175" s="185" t="n">
        <f aca="false">U$3*$E175</f>
        <v>14.8810450711928</v>
      </c>
      <c r="V175" s="185" t="n">
        <f aca="false">V$3*$E175</f>
        <v>15.6247789845987</v>
      </c>
      <c r="W175" s="185" t="n">
        <f aca="false">W$3*$E175</f>
        <v>16.1682720808369</v>
      </c>
      <c r="X175" s="185" t="n">
        <f aca="false">X$3*$E175</f>
        <v>16.5408851554474</v>
      </c>
      <c r="Y175" s="185" t="n">
        <f aca="false">Y$3*$E175</f>
        <v>16.7853034812291</v>
      </c>
      <c r="Z175" s="185" t="n">
        <f aca="false">Z$3*$E175</f>
        <v>16.941017408346</v>
      </c>
      <c r="AA175" s="185" t="n">
        <f aca="false">AA$3*$E175</f>
        <v>17.0383815460609</v>
      </c>
      <c r="AB175" s="185" t="n">
        <f aca="false">AB$3*$E175</f>
        <v>17.0985507476761</v>
      </c>
      <c r="AC175" s="185" t="n">
        <f aca="false">AC$3*$E175</f>
        <v>17.1354649070294</v>
      </c>
      <c r="AD175" s="219" t="n">
        <f aca="false">Algae_electricity_factor/H175</f>
        <v>0.0015987433378153</v>
      </c>
      <c r="AE175" s="220" t="n">
        <f aca="false">Algae_electricity_factor/I175</f>
        <v>0.0015987433378153</v>
      </c>
      <c r="AF175" s="220" t="n">
        <f aca="false">Algae_electricity_factor/J175</f>
        <v>0.0015987433378153</v>
      </c>
      <c r="AG175" s="220" t="n">
        <f aca="false">Algae_electricity_factor/K175</f>
        <v>0.0015987433378153</v>
      </c>
      <c r="AH175" s="220" t="n">
        <f aca="false">Algae_electricity_factor/L175</f>
        <v>0.0015987433378153</v>
      </c>
      <c r="AI175" s="220" t="n">
        <f aca="false">Algae_electricity_factor/M175</f>
        <v>0.00152635463640516</v>
      </c>
      <c r="AJ175" s="220" t="n">
        <f aca="false">Algae_electricity_factor/N175</f>
        <v>0.00148601680733025</v>
      </c>
      <c r="AK175" s="220" t="n">
        <f aca="false">Algae_electricity_factor/O175</f>
        <v>0.0014284660148374</v>
      </c>
      <c r="AL175" s="220" t="n">
        <f aca="false">Algae_electricity_factor/P175</f>
        <v>0.00135208797985752</v>
      </c>
      <c r="AM175" s="220" t="n">
        <f aca="false">Algae_electricity_factor/Q175</f>
        <v>0.00125990318456879</v>
      </c>
      <c r="AN175" s="220" t="n">
        <f aca="false">Algae_electricity_factor/R175</f>
        <v>0.00116057795898697</v>
      </c>
      <c r="AO175" s="220" t="n">
        <f aca="false">Algae_electricity_factor/S175</f>
        <v>0.00106582889187687</v>
      </c>
      <c r="AP175" s="220" t="n">
        <f aca="false">Algae_electricity_factor/T175</f>
        <v>0.000985382688533103</v>
      </c>
      <c r="AQ175" s="220" t="n">
        <f aca="false">Algae_electricity_factor/U175</f>
        <v>0.000923563972676524</v>
      </c>
      <c r="AR175" s="220" t="n">
        <f aca="false">Algae_electricity_factor/V175</f>
        <v>0.000879602656592859</v>
      </c>
      <c r="AS175" s="220" t="n">
        <f aca="false">Algae_electricity_factor/W175</f>
        <v>0.000850034996616527</v>
      </c>
      <c r="AT175" s="220" t="n">
        <f aca="false">Algae_electricity_factor/X175</f>
        <v>0.00083088643530078</v>
      </c>
      <c r="AU175" s="220" t="n">
        <f aca="false">Algae_electricity_factor/Y175</f>
        <v>0.000818787525581452</v>
      </c>
      <c r="AV175" s="220" t="n">
        <f aca="false">Algae_electricity_factor/Z175</f>
        <v>0.00081126161270329</v>
      </c>
      <c r="AW175" s="220" t="n">
        <f aca="false">Algae_electricity_factor/AA175</f>
        <v>0.000806625738857612</v>
      </c>
      <c r="AX175" s="220" t="n">
        <f aca="false">Algae_electricity_factor/AB175</f>
        <v>0.000803787251115255</v>
      </c>
      <c r="AY175" s="220" t="n">
        <f aca="false">Algae_electricity_factor/AC175</f>
        <v>0.000802055688485656</v>
      </c>
      <c r="AZ175" s="211" t="n">
        <f aca="false">Algae_yield_cost_factor/H175</f>
        <v>0.0885060919311601</v>
      </c>
      <c r="BA175" s="18" t="n">
        <f aca="false">Algae_yield_cost_factor/I175</f>
        <v>0.0885060919311601</v>
      </c>
      <c r="BB175" s="18" t="n">
        <f aca="false">Algae_yield_cost_factor/J175</f>
        <v>0.0885060919311601</v>
      </c>
      <c r="BC175" s="18" t="n">
        <f aca="false">Algae_yield_cost_factor/K175</f>
        <v>0.0885060919311601</v>
      </c>
      <c r="BD175" s="18" t="n">
        <f aca="false">Algae_yield_cost_factor/L175</f>
        <v>0.0885060919311601</v>
      </c>
      <c r="BE175" s="18" t="n">
        <f aca="false">Algae_yield_cost_factor/M175</f>
        <v>0.0844986687818393</v>
      </c>
      <c r="BF175" s="18" t="n">
        <f aca="false">Algae_yield_cost_factor/N175</f>
        <v>0.082265575123863</v>
      </c>
      <c r="BG175" s="18" t="n">
        <f aca="false">Algae_yield_cost_factor/O175</f>
        <v>0.0790795754636272</v>
      </c>
      <c r="BH175" s="18" t="n">
        <f aca="false">Algae_yield_cost_factor/P175</f>
        <v>0.0748513036544148</v>
      </c>
      <c r="BI175" s="18" t="n">
        <f aca="false">Algae_yield_cost_factor/Q175</f>
        <v>0.0697479729486691</v>
      </c>
      <c r="BJ175" s="18" t="n">
        <f aca="false">Algae_yield_cost_factor/R175</f>
        <v>0.0642493495370837</v>
      </c>
      <c r="BK175" s="18" t="n">
        <f aca="false">Algae_yield_cost_factor/S175</f>
        <v>0.0590040612874401</v>
      </c>
      <c r="BL175" s="18" t="n">
        <f aca="false">Algae_yield_cost_factor/T175</f>
        <v>0.0545505765408605</v>
      </c>
      <c r="BM175" s="18" t="n">
        <f aca="false">Algae_yield_cost_factor/U175</f>
        <v>0.0511283055488542</v>
      </c>
      <c r="BN175" s="18" t="n">
        <f aca="false">Algae_yield_cost_factor/V175</f>
        <v>0.0486946164189702</v>
      </c>
      <c r="BO175" s="18" t="n">
        <f aca="false">Algae_yield_cost_factor/W175</f>
        <v>0.0470577570368816</v>
      </c>
      <c r="BP175" s="18" t="n">
        <f aca="false">Algae_yield_cost_factor/X175</f>
        <v>0.0459976967457301</v>
      </c>
      <c r="BQ175" s="18" t="n">
        <f aca="false">Algae_yield_cost_factor/Y175</f>
        <v>0.0453279036710338</v>
      </c>
      <c r="BR175" s="18" t="n">
        <f aca="false">Algae_yield_cost_factor/Z175</f>
        <v>0.0449112707310831</v>
      </c>
      <c r="BS175" s="18" t="n">
        <f aca="false">Algae_yield_cost_factor/AA175</f>
        <v>0.04465462973871</v>
      </c>
      <c r="BT175" s="18" t="n">
        <f aca="false">Algae_yield_cost_factor/AB175</f>
        <v>0.0444974916596148</v>
      </c>
      <c r="BU175" s="18" t="n">
        <f aca="false">Algae_yield_cost_factor/AC175</f>
        <v>0.0444016327198745</v>
      </c>
    </row>
    <row r="176" customFormat="false" ht="15" hidden="false" customHeight="false" outlineLevel="0" collapsed="false">
      <c r="A176" s="18" t="s">
        <v>714</v>
      </c>
      <c r="B176" s="18" t="s">
        <v>22</v>
      </c>
      <c r="C176" s="18" t="s">
        <v>686</v>
      </c>
      <c r="D176" s="18" t="s">
        <v>686</v>
      </c>
      <c r="E176" s="185" t="n">
        <v>8.53875</v>
      </c>
      <c r="F176" s="18" t="n">
        <f aca="false">E176/$B$2*$F$3/1000</f>
        <v>0.0209199375</v>
      </c>
      <c r="G176" s="18" t="n">
        <f aca="false">LOOKUP(RIGHT(D176,5),Ref!$C$4:$C$21,Ref!$E$4:$E$21)*$G$3</f>
        <v>4.5</v>
      </c>
      <c r="H176" s="222" t="n">
        <f aca="false">$E176</f>
        <v>8.53875</v>
      </c>
      <c r="I176" s="185" t="n">
        <f aca="false">$E176</f>
        <v>8.53875</v>
      </c>
      <c r="J176" s="185" t="n">
        <f aca="false">$E176</f>
        <v>8.53875</v>
      </c>
      <c r="K176" s="185" t="n">
        <f aca="false">$E176</f>
        <v>8.53875</v>
      </c>
      <c r="L176" s="185" t="n">
        <f aca="false">$E176</f>
        <v>8.53875</v>
      </c>
      <c r="M176" s="185" t="n">
        <f aca="false">M$3*$E176</f>
        <v>8.94370767459495</v>
      </c>
      <c r="N176" s="185" t="n">
        <f aca="false">N$3*$E176</f>
        <v>9.18648403465639</v>
      </c>
      <c r="O176" s="185" t="n">
        <f aca="false">O$3*$E176</f>
        <v>9.55659395041636</v>
      </c>
      <c r="P176" s="185" t="n">
        <f aca="false">P$3*$E176</f>
        <v>10.0964359414015</v>
      </c>
      <c r="Q176" s="185" t="n">
        <f aca="false">Q$3*$E176</f>
        <v>10.835173561723</v>
      </c>
      <c r="R176" s="185" t="n">
        <f aca="false">R$3*$E176</f>
        <v>11.7624753857002</v>
      </c>
      <c r="S176" s="185" t="n">
        <f aca="false">S$3*$E176</f>
        <v>12.808125</v>
      </c>
      <c r="T176" s="185" t="n">
        <f aca="false">T$3*$E176</f>
        <v>13.8537746142998</v>
      </c>
      <c r="U176" s="185" t="n">
        <f aca="false">U$3*$E176</f>
        <v>14.781076438277</v>
      </c>
      <c r="V176" s="185" t="n">
        <f aca="false">V$3*$E176</f>
        <v>15.5198140585985</v>
      </c>
      <c r="W176" s="185" t="n">
        <f aca="false">W$3*$E176</f>
        <v>16.0596560495836</v>
      </c>
      <c r="X176" s="185" t="n">
        <f aca="false">X$3*$E176</f>
        <v>16.4297659653436</v>
      </c>
      <c r="Y176" s="185" t="n">
        <f aca="false">Y$3*$E176</f>
        <v>16.6725423254051</v>
      </c>
      <c r="Z176" s="185" t="n">
        <f aca="false">Z$3*$E176</f>
        <v>16.8272101896719</v>
      </c>
      <c r="AA176" s="185" t="n">
        <f aca="false">AA$3*$E176</f>
        <v>16.9239202496862</v>
      </c>
      <c r="AB176" s="185" t="n">
        <f aca="false">AB$3*$E176</f>
        <v>16.983685243613</v>
      </c>
      <c r="AC176" s="185" t="n">
        <f aca="false">AC$3*$E176</f>
        <v>17.0203514191703</v>
      </c>
      <c r="AD176" s="219" t="n">
        <f aca="false">Algae_electricity_factor/H176</f>
        <v>0.00160955609468942</v>
      </c>
      <c r="AE176" s="220" t="n">
        <f aca="false">Algae_electricity_factor/I176</f>
        <v>0.00160955609468942</v>
      </c>
      <c r="AF176" s="220" t="n">
        <f aca="false">Algae_electricity_factor/J176</f>
        <v>0.00160955609468942</v>
      </c>
      <c r="AG176" s="220" t="n">
        <f aca="false">Algae_electricity_factor/K176</f>
        <v>0.00160955609468942</v>
      </c>
      <c r="AH176" s="220" t="n">
        <f aca="false">Algae_electricity_factor/L176</f>
        <v>0.00160955609468942</v>
      </c>
      <c r="AI176" s="220" t="n">
        <f aca="false">Algae_electricity_factor/M176</f>
        <v>0.00153667780785911</v>
      </c>
      <c r="AJ176" s="220" t="n">
        <f aca="false">Algae_electricity_factor/N176</f>
        <v>0.00149606716254891</v>
      </c>
      <c r="AK176" s="220" t="n">
        <f aca="false">Algae_electricity_factor/O176</f>
        <v>0.00143812713764306</v>
      </c>
      <c r="AL176" s="220" t="n">
        <f aca="false">Algae_electricity_factor/P176</f>
        <v>0.00136123253624303</v>
      </c>
      <c r="AM176" s="220" t="n">
        <f aca="false">Algae_electricity_factor/Q176</f>
        <v>0.00126842426890887</v>
      </c>
      <c r="AN176" s="220" t="n">
        <f aca="false">Algae_electricity_factor/R176</f>
        <v>0.00116842727851636</v>
      </c>
      <c r="AO176" s="220" t="n">
        <f aca="false">Algae_electricity_factor/S176</f>
        <v>0.00107303739645961</v>
      </c>
      <c r="AP176" s="220" t="n">
        <f aca="false">Algae_electricity_factor/T176</f>
        <v>0.00099204711251352</v>
      </c>
      <c r="AQ176" s="220" t="n">
        <f aca="false">Algae_electricity_factor/U176</f>
        <v>0.000929810299061776</v>
      </c>
      <c r="AR176" s="220" t="n">
        <f aca="false">Algae_electricity_factor/V176</f>
        <v>0.000885551660067401</v>
      </c>
      <c r="AS176" s="220" t="n">
        <f aca="false">Algae_electricity_factor/W176</f>
        <v>0.000855784025579152</v>
      </c>
      <c r="AT176" s="220" t="n">
        <f aca="false">Algae_electricity_factor/X176</f>
        <v>0.000836505957085423</v>
      </c>
      <c r="AU176" s="220" t="n">
        <f aca="false">Algae_electricity_factor/Y176</f>
        <v>0.000824325218991181</v>
      </c>
      <c r="AV176" s="220" t="n">
        <f aca="false">Algae_electricity_factor/Z176</f>
        <v>0.000816748406219158</v>
      </c>
      <c r="AW176" s="220" t="n">
        <f aca="false">Algae_electricity_factor/AA176</f>
        <v>0.000812081178637325</v>
      </c>
      <c r="AX176" s="220" t="n">
        <f aca="false">Algae_electricity_factor/AB176</f>
        <v>0.000809223493393329</v>
      </c>
      <c r="AY176" s="220" t="n">
        <f aca="false">Algae_electricity_factor/AC176</f>
        <v>0.00080748021971213</v>
      </c>
      <c r="AZ176" s="211" t="n">
        <f aca="false">Algae_yield_cost_factor/H176</f>
        <v>0.0891046838572646</v>
      </c>
      <c r="BA176" s="18" t="n">
        <f aca="false">Algae_yield_cost_factor/I176</f>
        <v>0.0891046838572646</v>
      </c>
      <c r="BB176" s="18" t="n">
        <f aca="false">Algae_yield_cost_factor/J176</f>
        <v>0.0891046838572646</v>
      </c>
      <c r="BC176" s="18" t="n">
        <f aca="false">Algae_yield_cost_factor/K176</f>
        <v>0.0891046838572646</v>
      </c>
      <c r="BD176" s="18" t="n">
        <f aca="false">Algae_yield_cost_factor/L176</f>
        <v>0.0891046838572646</v>
      </c>
      <c r="BE176" s="18" t="n">
        <f aca="false">Algae_yield_cost_factor/M176</f>
        <v>0.0850701573629726</v>
      </c>
      <c r="BF176" s="18" t="n">
        <f aca="false">Algae_yield_cost_factor/N176</f>
        <v>0.0828219606561017</v>
      </c>
      <c r="BG176" s="18" t="n">
        <f aca="false">Algae_yield_cost_factor/O176</f>
        <v>0.0796144131720769</v>
      </c>
      <c r="BH176" s="18" t="n">
        <f aca="false">Algae_yield_cost_factor/P176</f>
        <v>0.0753575443554592</v>
      </c>
      <c r="BI176" s="18" t="n">
        <f aca="false">Algae_yield_cost_factor/Q176</f>
        <v>0.070219698369578</v>
      </c>
      <c r="BJ176" s="18" t="n">
        <f aca="false">Algae_yield_cost_factor/R176</f>
        <v>0.0646838862006195</v>
      </c>
      <c r="BK176" s="18" t="n">
        <f aca="false">Algae_yield_cost_factor/S176</f>
        <v>0.0594031225715097</v>
      </c>
      <c r="BL176" s="18" t="n">
        <f aca="false">Algae_yield_cost_factor/T176</f>
        <v>0.0549195176382383</v>
      </c>
      <c r="BM176" s="18" t="n">
        <f aca="false">Algae_yield_cost_factor/U176</f>
        <v>0.0514741008520832</v>
      </c>
      <c r="BN176" s="18" t="n">
        <f aca="false">Algae_yield_cost_factor/V176</f>
        <v>0.0490239519889536</v>
      </c>
      <c r="BO176" s="18" t="n">
        <f aca="false">Algae_yield_cost_factor/W176</f>
        <v>0.0473760220603195</v>
      </c>
      <c r="BP176" s="18" t="n">
        <f aca="false">Algae_yield_cost_factor/X176</f>
        <v>0.0463087922792761</v>
      </c>
      <c r="BQ176" s="18" t="n">
        <f aca="false">Algae_yield_cost_factor/Y176</f>
        <v>0.0456344692031084</v>
      </c>
      <c r="BR176" s="18" t="n">
        <f aca="false">Algae_yield_cost_factor/Z176</f>
        <v>0.0452150184558344</v>
      </c>
      <c r="BS176" s="18" t="n">
        <f aca="false">Algae_yield_cost_factor/AA176</f>
        <v>0.044956641727281</v>
      </c>
      <c r="BT176" s="18" t="n">
        <f aca="false">Algae_yield_cost_factor/AB176</f>
        <v>0.0447984408785687</v>
      </c>
      <c r="BU176" s="18" t="n">
        <f aca="false">Algae_yield_cost_factor/AC176</f>
        <v>0.0447019336174969</v>
      </c>
    </row>
    <row r="177" customFormat="false" ht="15" hidden="false" customHeight="false" outlineLevel="0" collapsed="false">
      <c r="A177" s="18" t="s">
        <v>714</v>
      </c>
      <c r="B177" s="18" t="s">
        <v>22</v>
      </c>
      <c r="C177" s="18" t="s">
        <v>687</v>
      </c>
      <c r="D177" s="18" t="s">
        <v>687</v>
      </c>
      <c r="E177" s="185" t="n">
        <v>7.9695</v>
      </c>
      <c r="F177" s="18" t="n">
        <f aca="false">E177/$B$2*$F$3/1000</f>
        <v>0.019525275</v>
      </c>
      <c r="G177" s="18" t="n">
        <f aca="false">LOOKUP(RIGHT(D177,5),Ref!$C$4:$C$21,Ref!$E$4:$E$21)*$G$3</f>
        <v>4.5</v>
      </c>
      <c r="H177" s="222" t="n">
        <f aca="false">$E177</f>
        <v>7.9695</v>
      </c>
      <c r="I177" s="185" t="n">
        <f aca="false">$E177</f>
        <v>7.9695</v>
      </c>
      <c r="J177" s="185" t="n">
        <f aca="false">$E177</f>
        <v>7.9695</v>
      </c>
      <c r="K177" s="185" t="n">
        <f aca="false">$E177</f>
        <v>7.9695</v>
      </c>
      <c r="L177" s="185" t="n">
        <f aca="false">$E177</f>
        <v>7.9695</v>
      </c>
      <c r="M177" s="185" t="n">
        <f aca="false">M$3*$E177</f>
        <v>8.34746049628862</v>
      </c>
      <c r="N177" s="185" t="n">
        <f aca="false">N$3*$E177</f>
        <v>8.5740517656793</v>
      </c>
      <c r="O177" s="185" t="n">
        <f aca="false">O$3*$E177</f>
        <v>8.91948768705527</v>
      </c>
      <c r="P177" s="185" t="n">
        <f aca="false">P$3*$E177</f>
        <v>9.42334021197476</v>
      </c>
      <c r="Q177" s="185" t="n">
        <f aca="false">Q$3*$E177</f>
        <v>10.1128286576082</v>
      </c>
      <c r="R177" s="185" t="n">
        <f aca="false">R$3*$E177</f>
        <v>10.9783103599868</v>
      </c>
      <c r="S177" s="185" t="n">
        <f aca="false">S$3*$E177</f>
        <v>11.95425</v>
      </c>
      <c r="T177" s="185" t="n">
        <f aca="false">T$3*$E177</f>
        <v>12.9301896400132</v>
      </c>
      <c r="U177" s="185" t="n">
        <f aca="false">U$3*$E177</f>
        <v>13.7956713423918</v>
      </c>
      <c r="V177" s="185" t="n">
        <f aca="false">V$3*$E177</f>
        <v>14.4851597880252</v>
      </c>
      <c r="W177" s="185" t="n">
        <f aca="false">W$3*$E177</f>
        <v>14.9890123129447</v>
      </c>
      <c r="X177" s="185" t="n">
        <f aca="false">X$3*$E177</f>
        <v>15.3344482343207</v>
      </c>
      <c r="Y177" s="185" t="n">
        <f aca="false">Y$3*$E177</f>
        <v>15.5610395037114</v>
      </c>
      <c r="Z177" s="185" t="n">
        <f aca="false">Z$3*$E177</f>
        <v>15.7053961770271</v>
      </c>
      <c r="AA177" s="185" t="n">
        <f aca="false">AA$3*$E177</f>
        <v>15.7956588997071</v>
      </c>
      <c r="AB177" s="185" t="n">
        <f aca="false">AB$3*$E177</f>
        <v>15.8514395607055</v>
      </c>
      <c r="AC177" s="185" t="n">
        <f aca="false">AC$3*$E177</f>
        <v>15.8856613245589</v>
      </c>
      <c r="AD177" s="219" t="n">
        <f aca="false">Algae_electricity_factor/H177</f>
        <v>0.00172452438716723</v>
      </c>
      <c r="AE177" s="220" t="n">
        <f aca="false">Algae_electricity_factor/I177</f>
        <v>0.00172452438716723</v>
      </c>
      <c r="AF177" s="220" t="n">
        <f aca="false">Algae_electricity_factor/J177</f>
        <v>0.00172452438716723</v>
      </c>
      <c r="AG177" s="220" t="n">
        <f aca="false">Algae_electricity_factor/K177</f>
        <v>0.00172452438716723</v>
      </c>
      <c r="AH177" s="220" t="n">
        <f aca="false">Algae_electricity_factor/L177</f>
        <v>0.00172452438716723</v>
      </c>
      <c r="AI177" s="220" t="n">
        <f aca="false">Algae_electricity_factor/M177</f>
        <v>0.00164644050842047</v>
      </c>
      <c r="AJ177" s="220" t="n">
        <f aca="false">Algae_electricity_factor/N177</f>
        <v>0.00160292910273098</v>
      </c>
      <c r="AK177" s="220" t="n">
        <f aca="false">Algae_electricity_factor/O177</f>
        <v>0.00154085050461756</v>
      </c>
      <c r="AL177" s="220" t="n">
        <f aca="false">Algae_electricity_factor/P177</f>
        <v>0.00145846343168896</v>
      </c>
      <c r="AM177" s="220" t="n">
        <f aca="false">Algae_electricity_factor/Q177</f>
        <v>0.00135902600240236</v>
      </c>
      <c r="AN177" s="220" t="n">
        <f aca="false">Algae_electricity_factor/R177</f>
        <v>0.00125188636983895</v>
      </c>
      <c r="AO177" s="220" t="n">
        <f aca="false">Algae_electricity_factor/S177</f>
        <v>0.00114968292477816</v>
      </c>
      <c r="AP177" s="220" t="n">
        <f aca="false">Algae_electricity_factor/T177</f>
        <v>0.0010629076205502</v>
      </c>
      <c r="AQ177" s="220" t="n">
        <f aca="false">Algae_electricity_factor/U177</f>
        <v>0.000996225320423331</v>
      </c>
      <c r="AR177" s="220" t="n">
        <f aca="false">Algae_electricity_factor/V177</f>
        <v>0.000948805350072215</v>
      </c>
      <c r="AS177" s="220" t="n">
        <f aca="false">Algae_electricity_factor/W177</f>
        <v>0.000916911455977662</v>
      </c>
      <c r="AT177" s="220" t="n">
        <f aca="false">Algae_electricity_factor/X177</f>
        <v>0.000896256382591524</v>
      </c>
      <c r="AU177" s="220" t="n">
        <f aca="false">Algae_electricity_factor/Y177</f>
        <v>0.000883205591776266</v>
      </c>
      <c r="AV177" s="220" t="n">
        <f aca="false">Algae_electricity_factor/Z177</f>
        <v>0.000875087578091955</v>
      </c>
      <c r="AW177" s="220" t="n">
        <f aca="false">Algae_electricity_factor/AA177</f>
        <v>0.00087008697711142</v>
      </c>
      <c r="AX177" s="220" t="n">
        <f aca="false">Algae_electricity_factor/AB177</f>
        <v>0.000867025171492852</v>
      </c>
      <c r="AY177" s="220" t="n">
        <f aca="false">Algae_electricity_factor/AC177</f>
        <v>0.000865157378262996</v>
      </c>
      <c r="AZ177" s="211" t="n">
        <f aca="false">Algae_yield_cost_factor/H177</f>
        <v>0.0954693041327834</v>
      </c>
      <c r="BA177" s="18" t="n">
        <f aca="false">Algae_yield_cost_factor/I177</f>
        <v>0.0954693041327834</v>
      </c>
      <c r="BB177" s="18" t="n">
        <f aca="false">Algae_yield_cost_factor/J177</f>
        <v>0.0954693041327834</v>
      </c>
      <c r="BC177" s="18" t="n">
        <f aca="false">Algae_yield_cost_factor/K177</f>
        <v>0.0954693041327834</v>
      </c>
      <c r="BD177" s="18" t="n">
        <f aca="false">Algae_yield_cost_factor/L177</f>
        <v>0.0954693041327834</v>
      </c>
      <c r="BE177" s="18" t="n">
        <f aca="false">Algae_yield_cost_factor/M177</f>
        <v>0.0911465971746135</v>
      </c>
      <c r="BF177" s="18" t="n">
        <f aca="false">Algae_yield_cost_factor/N177</f>
        <v>0.0887378149886803</v>
      </c>
      <c r="BG177" s="18" t="n">
        <f aca="false">Algae_yield_cost_factor/O177</f>
        <v>0.0853011569700823</v>
      </c>
      <c r="BH177" s="18" t="n">
        <f aca="false">Algae_yield_cost_factor/P177</f>
        <v>0.0807402260951348</v>
      </c>
      <c r="BI177" s="18" t="n">
        <f aca="false">Algae_yield_cost_factor/Q177</f>
        <v>0.0752353911102621</v>
      </c>
      <c r="BJ177" s="18" t="n">
        <f aca="false">Algae_yield_cost_factor/R177</f>
        <v>0.0693041637863781</v>
      </c>
      <c r="BK177" s="18" t="n">
        <f aca="false">Algae_yield_cost_factor/S177</f>
        <v>0.063646202755189</v>
      </c>
      <c r="BL177" s="18" t="n">
        <f aca="false">Algae_yield_cost_factor/T177</f>
        <v>0.0588423403266839</v>
      </c>
      <c r="BM177" s="18" t="n">
        <f aca="false">Algae_yield_cost_factor/U177</f>
        <v>0.0551508223415177</v>
      </c>
      <c r="BN177" s="18" t="n">
        <f aca="false">Algae_yield_cost_factor/V177</f>
        <v>0.0525256628453074</v>
      </c>
      <c r="BO177" s="18" t="n">
        <f aca="false">Algae_yield_cost_factor/W177</f>
        <v>0.0507600236360566</v>
      </c>
      <c r="BP177" s="18" t="n">
        <f aca="false">Algae_yield_cost_factor/X177</f>
        <v>0.0496165631563673</v>
      </c>
      <c r="BQ177" s="18" t="n">
        <f aca="false">Algae_yield_cost_factor/Y177</f>
        <v>0.0488940741461876</v>
      </c>
      <c r="BR177" s="18" t="n">
        <f aca="false">Algae_yield_cost_factor/Z177</f>
        <v>0.0484446626312511</v>
      </c>
      <c r="BS177" s="18" t="n">
        <f aca="false">Algae_yield_cost_factor/AA177</f>
        <v>0.0481678304220868</v>
      </c>
      <c r="BT177" s="18" t="n">
        <f aca="false">Algae_yield_cost_factor/AB177</f>
        <v>0.0479983295127522</v>
      </c>
      <c r="BU177" s="18" t="n">
        <f aca="false">Algae_yield_cost_factor/AC177</f>
        <v>0.0478949288758895</v>
      </c>
    </row>
    <row r="178" customFormat="false" ht="15" hidden="false" customHeight="false" outlineLevel="0" collapsed="false">
      <c r="A178" s="18" t="s">
        <v>715</v>
      </c>
      <c r="B178" s="18" t="s">
        <v>22</v>
      </c>
      <c r="C178" s="18" t="s">
        <v>690</v>
      </c>
      <c r="D178" s="18" t="s">
        <v>690</v>
      </c>
      <c r="E178" s="185" t="n">
        <v>8.1345</v>
      </c>
      <c r="F178" s="18" t="n">
        <f aca="false">E178/$B$2*$F$3/1000</f>
        <v>0.019929525</v>
      </c>
      <c r="G178" s="18" t="n">
        <f aca="false">LOOKUP(RIGHT(D178,5),Ref!$C$4:$C$21,Ref!$E$4:$E$21)*$G$3</f>
        <v>1.5</v>
      </c>
      <c r="H178" s="222" t="n">
        <f aca="false">$E178</f>
        <v>8.1345</v>
      </c>
      <c r="I178" s="185" t="n">
        <f aca="false">$E178</f>
        <v>8.1345</v>
      </c>
      <c r="J178" s="185" t="n">
        <f aca="false">$E178</f>
        <v>8.1345</v>
      </c>
      <c r="K178" s="185" t="n">
        <f aca="false">$E178</f>
        <v>8.1345</v>
      </c>
      <c r="L178" s="185" t="n">
        <f aca="false">$E178</f>
        <v>8.1345</v>
      </c>
      <c r="M178" s="185" t="n">
        <f aca="false">M$3*$E178</f>
        <v>8.52028576536292</v>
      </c>
      <c r="N178" s="185" t="n">
        <f aca="false">N$3*$E178</f>
        <v>8.7515683653828</v>
      </c>
      <c r="O178" s="185" t="n">
        <f aca="false">O$3*$E178</f>
        <v>9.10415616918892</v>
      </c>
      <c r="P178" s="185" t="n">
        <f aca="false">P$3*$E178</f>
        <v>9.6184404234028</v>
      </c>
      <c r="Q178" s="185" t="n">
        <f aca="false">Q$3*$E178</f>
        <v>10.3222039921342</v>
      </c>
      <c r="R178" s="185" t="n">
        <f aca="false">R$3*$E178</f>
        <v>11.2056045703385</v>
      </c>
      <c r="S178" s="185" t="n">
        <f aca="false">S$3*$E178</f>
        <v>12.20175</v>
      </c>
      <c r="T178" s="185" t="n">
        <f aca="false">T$3*$E178</f>
        <v>13.1978954296615</v>
      </c>
      <c r="U178" s="185" t="n">
        <f aca="false">U$3*$E178</f>
        <v>14.0812960078658</v>
      </c>
      <c r="V178" s="185" t="n">
        <f aca="false">V$3*$E178</f>
        <v>14.7850595765972</v>
      </c>
      <c r="W178" s="185" t="n">
        <f aca="false">W$3*$E178</f>
        <v>15.2993438308111</v>
      </c>
      <c r="X178" s="185" t="n">
        <f aca="false">X$3*$E178</f>
        <v>15.6519316346172</v>
      </c>
      <c r="Y178" s="185" t="n">
        <f aca="false">Y$3*$E178</f>
        <v>15.8832142346371</v>
      </c>
      <c r="Z178" s="185" t="n">
        <f aca="false">Z$3*$E178</f>
        <v>16.0305596589531</v>
      </c>
      <c r="AA178" s="185" t="n">
        <f aca="false">AA$3*$E178</f>
        <v>16.1226911750634</v>
      </c>
      <c r="AB178" s="185" t="n">
        <f aca="false">AB$3*$E178</f>
        <v>16.1796267151714</v>
      </c>
      <c r="AC178" s="185" t="n">
        <f aca="false">AC$3*$E178</f>
        <v>16.2145570041564</v>
      </c>
      <c r="AD178" s="219" t="n">
        <f aca="false">Algae_electricity_factor/H178</f>
        <v>0.00168954417647419</v>
      </c>
      <c r="AE178" s="220" t="n">
        <f aca="false">Algae_electricity_factor/I178</f>
        <v>0.00168954417647419</v>
      </c>
      <c r="AF178" s="220" t="n">
        <f aca="false">Algae_electricity_factor/J178</f>
        <v>0.00168954417647419</v>
      </c>
      <c r="AG178" s="220" t="n">
        <f aca="false">Algae_electricity_factor/K178</f>
        <v>0.00168954417647419</v>
      </c>
      <c r="AH178" s="220" t="n">
        <f aca="false">Algae_electricity_factor/L178</f>
        <v>0.00168954417647419</v>
      </c>
      <c r="AI178" s="220" t="n">
        <f aca="false">Algae_electricity_factor/M178</f>
        <v>0.0016130441492233</v>
      </c>
      <c r="AJ178" s="220" t="n">
        <f aca="false">Algae_electricity_factor/N178</f>
        <v>0.00157041532782771</v>
      </c>
      <c r="AK178" s="220" t="n">
        <f aca="false">Algae_electricity_factor/O178</f>
        <v>0.00150959593048739</v>
      </c>
      <c r="AL178" s="220" t="n">
        <f aca="false">Algae_electricity_factor/P178</f>
        <v>0.0014288799949407</v>
      </c>
      <c r="AM178" s="220" t="n">
        <f aca="false">Algae_electricity_factor/Q178</f>
        <v>0.00133145955204937</v>
      </c>
      <c r="AN178" s="220" t="n">
        <f aca="false">Algae_electricity_factor/R178</f>
        <v>0.00122649313718502</v>
      </c>
      <c r="AO178" s="220" t="n">
        <f aca="false">Algae_electricity_factor/S178</f>
        <v>0.00112636278431612</v>
      </c>
      <c r="AP178" s="220" t="n">
        <f aca="false">Algae_electricity_factor/T178</f>
        <v>0.00104134762824695</v>
      </c>
      <c r="AQ178" s="220" t="n">
        <f aca="false">Algae_electricity_factor/U178</f>
        <v>0.000976017910272756</v>
      </c>
      <c r="AR178" s="220" t="n">
        <f aca="false">Algae_electricity_factor/V178</f>
        <v>0.000929559805446004</v>
      </c>
      <c r="AS178" s="220" t="n">
        <f aca="false">Algae_electricity_factor/W178</f>
        <v>0.000898312846322943</v>
      </c>
      <c r="AT178" s="220" t="n">
        <f aca="false">Algae_electricity_factor/X178</f>
        <v>0.000878076739942609</v>
      </c>
      <c r="AU178" s="220" t="n">
        <f aca="false">Algae_electricity_factor/Y178</f>
        <v>0.000865290671050581</v>
      </c>
      <c r="AV178" s="220" t="n">
        <f aca="false">Algae_electricity_factor/Z178</f>
        <v>0.000857337322958244</v>
      </c>
      <c r="AW178" s="220" t="n">
        <f aca="false">Algae_electricity_factor/AA178</f>
        <v>0.00085243815404628</v>
      </c>
      <c r="AX178" s="220" t="n">
        <f aca="false">Algae_electricity_factor/AB178</f>
        <v>0.000849438454018352</v>
      </c>
      <c r="AY178" s="220" t="n">
        <f aca="false">Algae_electricity_factor/AC178</f>
        <v>0.000847608547060907</v>
      </c>
      <c r="AZ178" s="211" t="n">
        <f aca="false">Algae_yield_cost_factor/H178</f>
        <v>0.0935328070915505</v>
      </c>
      <c r="BA178" s="18" t="n">
        <f aca="false">Algae_yield_cost_factor/I178</f>
        <v>0.0935328070915505</v>
      </c>
      <c r="BB178" s="18" t="n">
        <f aca="false">Algae_yield_cost_factor/J178</f>
        <v>0.0935328070915505</v>
      </c>
      <c r="BC178" s="18" t="n">
        <f aca="false">Algae_yield_cost_factor/K178</f>
        <v>0.0935328070915505</v>
      </c>
      <c r="BD178" s="18" t="n">
        <f aca="false">Algae_yield_cost_factor/L178</f>
        <v>0.0935328070915505</v>
      </c>
      <c r="BE178" s="18" t="n">
        <f aca="false">Algae_yield_cost_factor/M178</f>
        <v>0.0892977818161021</v>
      </c>
      <c r="BF178" s="18" t="n">
        <f aca="false">Algae_yield_cost_factor/N178</f>
        <v>0.0869378593093968</v>
      </c>
      <c r="BG178" s="18" t="n">
        <f aca="false">Algae_yield_cost_factor/O178</f>
        <v>0.0835709103783971</v>
      </c>
      <c r="BH178" s="18" t="n">
        <f aca="false">Algae_yield_cost_factor/P178</f>
        <v>0.0791024933143005</v>
      </c>
      <c r="BI178" s="18" t="n">
        <f aca="false">Algae_yield_cost_factor/Q178</f>
        <v>0.0737093182682689</v>
      </c>
      <c r="BJ178" s="18" t="n">
        <f aca="false">Algae_yield_cost_factor/R178</f>
        <v>0.0678983998150519</v>
      </c>
      <c r="BK178" s="18" t="n">
        <f aca="false">Algae_yield_cost_factor/S178</f>
        <v>0.0623552047277004</v>
      </c>
      <c r="BL178" s="18" t="n">
        <f aca="false">Algae_yield_cost_factor/T178</f>
        <v>0.0576487837277654</v>
      </c>
      <c r="BM178" s="18" t="n">
        <f aca="false">Algae_yield_cost_factor/U178</f>
        <v>0.0540321444035558</v>
      </c>
      <c r="BN178" s="18" t="n">
        <f aca="false">Algae_yield_cost_factor/V178</f>
        <v>0.0514602335786683</v>
      </c>
      <c r="BO178" s="18" t="n">
        <f aca="false">Algae_yield_cost_factor/W178</f>
        <v>0.0497304085521609</v>
      </c>
      <c r="BP178" s="18" t="n">
        <f aca="false">Algae_yield_cost_factor/X178</f>
        <v>0.0486101419970089</v>
      </c>
      <c r="BQ178" s="18" t="n">
        <f aca="false">Algae_yield_cost_factor/Y178</f>
        <v>0.0479023079363257</v>
      </c>
      <c r="BR178" s="18" t="n">
        <f aca="false">Algae_yield_cost_factor/Z178</f>
        <v>0.0474620122736193</v>
      </c>
      <c r="BS178" s="18" t="n">
        <f aca="false">Algae_yield_cost_factor/AA178</f>
        <v>0.0471907953222473</v>
      </c>
      <c r="BT178" s="18" t="n">
        <f aca="false">Algae_yield_cost_factor/AB178</f>
        <v>0.0470247325652319</v>
      </c>
      <c r="BU178" s="18" t="n">
        <f aca="false">Algae_yield_cost_factor/AC178</f>
        <v>0.0469234293043705</v>
      </c>
    </row>
    <row r="179" customFormat="false" ht="15" hidden="false" customHeight="false" outlineLevel="0" collapsed="false">
      <c r="A179" s="18" t="s">
        <v>715</v>
      </c>
      <c r="B179" s="18" t="s">
        <v>22</v>
      </c>
      <c r="C179" s="18" t="s">
        <v>691</v>
      </c>
      <c r="D179" s="18" t="s">
        <v>691</v>
      </c>
      <c r="E179" s="185" t="n">
        <v>7.7055</v>
      </c>
      <c r="F179" s="18" t="n">
        <f aca="false">E179/$B$2*$F$3/1000</f>
        <v>0.018878475</v>
      </c>
      <c r="G179" s="18" t="n">
        <f aca="false">LOOKUP(RIGHT(D179,5),Ref!$C$4:$C$21,Ref!$E$4:$E$21)*$G$3</f>
        <v>2</v>
      </c>
      <c r="H179" s="222" t="n">
        <f aca="false">$E179</f>
        <v>7.7055</v>
      </c>
      <c r="I179" s="185" t="n">
        <f aca="false">$E179</f>
        <v>7.7055</v>
      </c>
      <c r="J179" s="185" t="n">
        <f aca="false">$E179</f>
        <v>7.7055</v>
      </c>
      <c r="K179" s="185" t="n">
        <f aca="false">$E179</f>
        <v>7.7055</v>
      </c>
      <c r="L179" s="185" t="n">
        <f aca="false">$E179</f>
        <v>7.7055</v>
      </c>
      <c r="M179" s="185" t="n">
        <f aca="false">M$3*$E179</f>
        <v>8.07094006576974</v>
      </c>
      <c r="N179" s="185" t="n">
        <f aca="false">N$3*$E179</f>
        <v>8.29002520615369</v>
      </c>
      <c r="O179" s="185" t="n">
        <f aca="false">O$3*$E179</f>
        <v>8.62401811564143</v>
      </c>
      <c r="P179" s="185" t="n">
        <f aca="false">P$3*$E179</f>
        <v>9.11117987368988</v>
      </c>
      <c r="Q179" s="185" t="n">
        <f aca="false">Q$3*$E179</f>
        <v>9.7778281223665</v>
      </c>
      <c r="R179" s="185" t="n">
        <f aca="false">R$3*$E179</f>
        <v>10.6146396234241</v>
      </c>
      <c r="S179" s="185" t="n">
        <f aca="false">S$3*$E179</f>
        <v>11.55825</v>
      </c>
      <c r="T179" s="185" t="n">
        <f aca="false">T$3*$E179</f>
        <v>12.5018603765759</v>
      </c>
      <c r="U179" s="185" t="n">
        <f aca="false">U$3*$E179</f>
        <v>13.3386718776335</v>
      </c>
      <c r="V179" s="185" t="n">
        <f aca="false">V$3*$E179</f>
        <v>14.0053201263101</v>
      </c>
      <c r="W179" s="185" t="n">
        <f aca="false">W$3*$E179</f>
        <v>14.4924818843586</v>
      </c>
      <c r="X179" s="185" t="n">
        <f aca="false">X$3*$E179</f>
        <v>14.8264747938463</v>
      </c>
      <c r="Y179" s="185" t="n">
        <f aca="false">Y$3*$E179</f>
        <v>15.0455599342303</v>
      </c>
      <c r="Z179" s="185" t="n">
        <f aca="false">Z$3*$E179</f>
        <v>15.1851346059454</v>
      </c>
      <c r="AA179" s="185" t="n">
        <f aca="false">AA$3*$E179</f>
        <v>15.2724072591371</v>
      </c>
      <c r="AB179" s="185" t="n">
        <f aca="false">AB$3*$E179</f>
        <v>15.32634011356</v>
      </c>
      <c r="AC179" s="185" t="n">
        <f aca="false">AC$3*$E179</f>
        <v>15.3594282372029</v>
      </c>
      <c r="AD179" s="219" t="n">
        <f aca="false">Algae_electricity_factor/H179</f>
        <v>0.00178360873447917</v>
      </c>
      <c r="AE179" s="220" t="n">
        <f aca="false">Algae_electricity_factor/I179</f>
        <v>0.00178360873447917</v>
      </c>
      <c r="AF179" s="220" t="n">
        <f aca="false">Algae_electricity_factor/J179</f>
        <v>0.00178360873447917</v>
      </c>
      <c r="AG179" s="220" t="n">
        <f aca="false">Algae_electricity_factor/K179</f>
        <v>0.00178360873447917</v>
      </c>
      <c r="AH179" s="220" t="n">
        <f aca="false">Algae_electricity_factor/L179</f>
        <v>0.00178360873447917</v>
      </c>
      <c r="AI179" s="220" t="n">
        <f aca="false">Algae_electricity_factor/M179</f>
        <v>0.00170284960506871</v>
      </c>
      <c r="AJ179" s="220" t="n">
        <f aca="false">Algae_electricity_factor/N179</f>
        <v>0.00165784744458043</v>
      </c>
      <c r="AK179" s="220" t="n">
        <f aca="false">Algae_electricity_factor/O179</f>
        <v>0.0015936419565959</v>
      </c>
      <c r="AL179" s="220" t="n">
        <f aca="false">Algae_electricity_factor/P179</f>
        <v>0.00150843220022648</v>
      </c>
      <c r="AM179" s="220" t="n">
        <f aca="false">Algae_electricity_factor/Q179</f>
        <v>0.00140558792111422</v>
      </c>
      <c r="AN179" s="220" t="n">
        <f aca="false">Algae_electricity_factor/R179</f>
        <v>0.00129477755167498</v>
      </c>
      <c r="AO179" s="220" t="n">
        <f aca="false">Algae_electricity_factor/S179</f>
        <v>0.00118907248965278</v>
      </c>
      <c r="AP179" s="220" t="n">
        <f aca="false">Algae_electricity_factor/T179</f>
        <v>0.00109932415572965</v>
      </c>
      <c r="AQ179" s="220" t="n">
        <f aca="false">Algae_electricity_factor/U179</f>
        <v>0.00103035723718302</v>
      </c>
      <c r="AR179" s="220" t="n">
        <f aca="false">Algae_electricity_factor/V179</f>
        <v>0.00098131259975349</v>
      </c>
      <c r="AS179" s="220" t="n">
        <f aca="false">Algae_electricity_factor/W179</f>
        <v>0.000948325981235997</v>
      </c>
      <c r="AT179" s="220" t="n">
        <f aca="false">Algae_electricity_factor/X179</f>
        <v>0.000926963239382669</v>
      </c>
      <c r="AU179" s="220" t="n">
        <f aca="false">Algae_electricity_factor/Y179</f>
        <v>0.000913465312265388</v>
      </c>
      <c r="AV179" s="220" t="n">
        <f aca="false">Algae_electricity_factor/Z179</f>
        <v>0.000905069165349923</v>
      </c>
      <c r="AW179" s="220" t="n">
        <f aca="false">Algae_electricity_factor/AA179</f>
        <v>0.000899897237569199</v>
      </c>
      <c r="AX179" s="220" t="n">
        <f aca="false">Algae_electricity_factor/AB179</f>
        <v>0.000896730530687468</v>
      </c>
      <c r="AY179" s="220" t="n">
        <f aca="false">Algae_electricity_factor/AC179</f>
        <v>0.000894798744541814</v>
      </c>
      <c r="AZ179" s="211" t="n">
        <f aca="false">Algae_yield_cost_factor/H179</f>
        <v>0.0987402010623863</v>
      </c>
      <c r="BA179" s="18" t="n">
        <f aca="false">Algae_yield_cost_factor/I179</f>
        <v>0.0987402010623863</v>
      </c>
      <c r="BB179" s="18" t="n">
        <f aca="false">Algae_yield_cost_factor/J179</f>
        <v>0.0987402010623863</v>
      </c>
      <c r="BC179" s="18" t="n">
        <f aca="false">Algae_yield_cost_factor/K179</f>
        <v>0.0987402010623863</v>
      </c>
      <c r="BD179" s="18" t="n">
        <f aca="false">Algae_yield_cost_factor/L179</f>
        <v>0.0987402010623863</v>
      </c>
      <c r="BE179" s="18" t="n">
        <f aca="false">Algae_yield_cost_factor/M179</f>
        <v>0.094269392795157</v>
      </c>
      <c r="BF179" s="18" t="n">
        <f aca="false">Algae_yield_cost_factor/N179</f>
        <v>0.0917780827398985</v>
      </c>
      <c r="BG179" s="18" t="n">
        <f aca="false">Algae_yield_cost_factor/O179</f>
        <v>0.0882236805493571</v>
      </c>
      <c r="BH179" s="18" t="n">
        <f aca="false">Algae_yield_cost_factor/P179</f>
        <v>0.0835064865180945</v>
      </c>
      <c r="BI179" s="18" t="n">
        <f aca="false">Algae_yield_cost_factor/Q179</f>
        <v>0.0778130490498</v>
      </c>
      <c r="BJ179" s="18" t="n">
        <f aca="false">Algae_yield_cost_factor/R179</f>
        <v>0.0716786105113932</v>
      </c>
      <c r="BK179" s="18" t="n">
        <f aca="false">Algae_yield_cost_factor/S179</f>
        <v>0.0658268007082575</v>
      </c>
      <c r="BL179" s="18" t="n">
        <f aca="false">Algae_yield_cost_factor/T179</f>
        <v>0.0608583519866987</v>
      </c>
      <c r="BM179" s="18" t="n">
        <f aca="false">Algae_yield_cost_factor/U179</f>
        <v>0.057040358010606</v>
      </c>
      <c r="BN179" s="18" t="n">
        <f aca="false">Algae_yield_cost_factor/V179</f>
        <v>0.0543252572896862</v>
      </c>
      <c r="BO179" s="18" t="n">
        <f aca="false">Algae_yield_cost_factor/W179</f>
        <v>0.0524991250882555</v>
      </c>
      <c r="BP179" s="18" t="n">
        <f aca="false">Algae_yield_cost_factor/X179</f>
        <v>0.0513164882323884</v>
      </c>
      <c r="BQ179" s="18" t="n">
        <f aca="false">Algae_yield_cost_factor/Y179</f>
        <v>0.0505692458514103</v>
      </c>
      <c r="BR179" s="18" t="n">
        <f aca="false">Algae_yield_cost_factor/Z179</f>
        <v>0.0501044369398165</v>
      </c>
      <c r="BS179" s="18" t="n">
        <f aca="false">Algae_yield_cost_factor/AA179</f>
        <v>0.0498181201153488</v>
      </c>
      <c r="BT179" s="18" t="n">
        <f aca="false">Algae_yield_cost_factor/AB179</f>
        <v>0.0496428118943454</v>
      </c>
      <c r="BU179" s="18" t="n">
        <f aca="false">Algae_yield_cost_factor/AC179</f>
        <v>0.0495358686232433</v>
      </c>
    </row>
    <row r="180" customFormat="false" ht="15" hidden="false" customHeight="false" outlineLevel="0" collapsed="false">
      <c r="A180" s="18" t="s">
        <v>715</v>
      </c>
      <c r="B180" s="18" t="s">
        <v>22</v>
      </c>
      <c r="C180" s="18" t="s">
        <v>692</v>
      </c>
      <c r="D180" s="18" t="s">
        <v>692</v>
      </c>
      <c r="E180" s="185" t="n">
        <v>8.88525</v>
      </c>
      <c r="F180" s="18" t="n">
        <f aca="false">E180/$B$2*$F$3/1000</f>
        <v>0.0217688625</v>
      </c>
      <c r="G180" s="18" t="n">
        <f aca="false">LOOKUP(RIGHT(D180,5),Ref!$C$4:$C$21,Ref!$E$4:$E$21)*$G$3</f>
        <v>2.5</v>
      </c>
      <c r="H180" s="222" t="n">
        <f aca="false">$E180</f>
        <v>8.88525</v>
      </c>
      <c r="I180" s="185" t="n">
        <f aca="false">$E180</f>
        <v>8.88525</v>
      </c>
      <c r="J180" s="185" t="n">
        <f aca="false">$E180</f>
        <v>8.88525</v>
      </c>
      <c r="K180" s="185" t="n">
        <f aca="false">$E180</f>
        <v>8.88525</v>
      </c>
      <c r="L180" s="185" t="n">
        <f aca="false">$E180</f>
        <v>8.88525</v>
      </c>
      <c r="M180" s="185" t="n">
        <f aca="false">M$3*$E180</f>
        <v>9.30664073965098</v>
      </c>
      <c r="N180" s="185" t="n">
        <f aca="false">N$3*$E180</f>
        <v>9.55926889403375</v>
      </c>
      <c r="O180" s="185" t="n">
        <f aca="false">O$3*$E180</f>
        <v>9.94439776289702</v>
      </c>
      <c r="P180" s="185" t="n">
        <f aca="false">P$3*$E180</f>
        <v>10.5061463854004</v>
      </c>
      <c r="Q180" s="185" t="n">
        <f aca="false">Q$3*$E180</f>
        <v>11.2748617642277</v>
      </c>
      <c r="R180" s="185" t="n">
        <f aca="false">R$3*$E180</f>
        <v>12.2397932274387</v>
      </c>
      <c r="S180" s="185" t="n">
        <f aca="false">S$3*$E180</f>
        <v>13.327875</v>
      </c>
      <c r="T180" s="185" t="n">
        <f aca="false">T$3*$E180</f>
        <v>14.4159567725613</v>
      </c>
      <c r="U180" s="185" t="n">
        <f aca="false">U$3*$E180</f>
        <v>15.3808882357722</v>
      </c>
      <c r="V180" s="185" t="n">
        <f aca="false">V$3*$E180</f>
        <v>16.1496036145996</v>
      </c>
      <c r="W180" s="185" t="n">
        <f aca="false">W$3*$E180</f>
        <v>16.711352237103</v>
      </c>
      <c r="X180" s="185" t="n">
        <f aca="false">X$3*$E180</f>
        <v>17.0964811059662</v>
      </c>
      <c r="Y180" s="185" t="n">
        <f aca="false">Y$3*$E180</f>
        <v>17.349109260349</v>
      </c>
      <c r="Z180" s="185" t="n">
        <f aca="false">Z$3*$E180</f>
        <v>17.5100535017165</v>
      </c>
      <c r="AA180" s="185" t="n">
        <f aca="false">AA$3*$E180</f>
        <v>17.6106880279343</v>
      </c>
      <c r="AB180" s="185" t="n">
        <f aca="false">AB$3*$E180</f>
        <v>17.6728782679915</v>
      </c>
      <c r="AC180" s="185" t="n">
        <f aca="false">AC$3*$E180</f>
        <v>17.711032346325</v>
      </c>
      <c r="AD180" s="219" t="n">
        <f aca="false">Algae_electricity_factor/H180</f>
        <v>0.00154678789043969</v>
      </c>
      <c r="AE180" s="220" t="n">
        <f aca="false">Algae_electricity_factor/I180</f>
        <v>0.00154678789043969</v>
      </c>
      <c r="AF180" s="220" t="n">
        <f aca="false">Algae_electricity_factor/J180</f>
        <v>0.00154678789043969</v>
      </c>
      <c r="AG180" s="220" t="n">
        <f aca="false">Algae_electricity_factor/K180</f>
        <v>0.00154678789043969</v>
      </c>
      <c r="AH180" s="220" t="n">
        <f aca="false">Algae_electricity_factor/L180</f>
        <v>0.00154678789043969</v>
      </c>
      <c r="AI180" s="220" t="n">
        <f aca="false">Algae_electricity_factor/M180</f>
        <v>0.00147675165379218</v>
      </c>
      <c r="AJ180" s="220" t="n">
        <f aca="false">Algae_electricity_factor/N180</f>
        <v>0.0014377247105275</v>
      </c>
      <c r="AK180" s="220" t="n">
        <f aca="false">Algae_electricity_factor/O180</f>
        <v>0.00138204418520016</v>
      </c>
      <c r="AL180" s="220" t="n">
        <f aca="false">Algae_electricity_factor/P180</f>
        <v>0.00130814825906363</v>
      </c>
      <c r="AM180" s="220" t="n">
        <f aca="false">Algae_electricity_factor/Q180</f>
        <v>0.00121895925563666</v>
      </c>
      <c r="AN180" s="220" t="n">
        <f aca="false">Algae_electricity_factor/R180</f>
        <v>0.0011228618693263</v>
      </c>
      <c r="AO180" s="220" t="n">
        <f aca="false">Algae_electricity_factor/S180</f>
        <v>0.00103119192695979</v>
      </c>
      <c r="AP180" s="220" t="n">
        <f aca="false">Algae_electricity_factor/T180</f>
        <v>0.000953360038487923</v>
      </c>
      <c r="AQ180" s="220" t="n">
        <f aca="false">Algae_electricity_factor/U180</f>
        <v>0.0008935502873992</v>
      </c>
      <c r="AR180" s="220" t="n">
        <f aca="false">Algae_electricity_factor/V180</f>
        <v>0.000851017612042488</v>
      </c>
      <c r="AS180" s="220" t="n">
        <f aca="false">Algae_electricity_factor/W180</f>
        <v>0.000822410832381079</v>
      </c>
      <c r="AT180" s="220" t="n">
        <f aca="false">Algae_electricity_factor/X180</f>
        <v>0.00080388455485925</v>
      </c>
      <c r="AU180" s="220" t="n">
        <f aca="false">Algae_electricity_factor/Y180</f>
        <v>0.000792178831621052</v>
      </c>
      <c r="AV180" s="220" t="n">
        <f aca="false">Algae_electricity_factor/Z180</f>
        <v>0.000784897493441809</v>
      </c>
      <c r="AW180" s="220" t="n">
        <f aca="false">Algae_electricity_factor/AA180</f>
        <v>0.000780412274735034</v>
      </c>
      <c r="AX180" s="220" t="n">
        <f aca="false">Algae_electricity_factor/AB180</f>
        <v>0.000777666031255427</v>
      </c>
      <c r="AY180" s="220" t="n">
        <f aca="false">Algae_electricity_factor/AC180</f>
        <v>0.000775990740391879</v>
      </c>
      <c r="AZ180" s="211" t="n">
        <f aca="false">Algae_yield_cost_factor/H180</f>
        <v>0.0856298493892932</v>
      </c>
      <c r="BA180" s="18" t="n">
        <f aca="false">Algae_yield_cost_factor/I180</f>
        <v>0.0856298493892932</v>
      </c>
      <c r="BB180" s="18" t="n">
        <f aca="false">Algae_yield_cost_factor/J180</f>
        <v>0.0856298493892932</v>
      </c>
      <c r="BC180" s="18" t="n">
        <f aca="false">Algae_yield_cost_factor/K180</f>
        <v>0.0856298493892932</v>
      </c>
      <c r="BD180" s="18" t="n">
        <f aca="false">Algae_yield_cost_factor/L180</f>
        <v>0.0856298493892932</v>
      </c>
      <c r="BE180" s="18" t="n">
        <f aca="false">Algae_yield_cost_factor/M180</f>
        <v>0.0817526581900433</v>
      </c>
      <c r="BF180" s="18" t="n">
        <f aca="false">Algae_yield_cost_factor/N180</f>
        <v>0.079592134892354</v>
      </c>
      <c r="BG180" s="18" t="n">
        <f aca="false">Algae_yield_cost_factor/O180</f>
        <v>0.0765096728255335</v>
      </c>
      <c r="BH180" s="18" t="n">
        <f aca="false">Algae_yield_cost_factor/P180</f>
        <v>0.0724188100351906</v>
      </c>
      <c r="BI180" s="18" t="n">
        <f aca="false">Algae_yield_cost_factor/Q180</f>
        <v>0.06748132573121</v>
      </c>
      <c r="BJ180" s="18" t="n">
        <f aca="false">Algae_yield_cost_factor/R180</f>
        <v>0.0621613948167514</v>
      </c>
      <c r="BK180" s="18" t="n">
        <f aca="false">Algae_yield_cost_factor/S180</f>
        <v>0.0570865662595288</v>
      </c>
      <c r="BL180" s="18" t="n">
        <f aca="false">Algae_yield_cost_factor/T180</f>
        <v>0.0527778094295048</v>
      </c>
      <c r="BM180" s="18" t="n">
        <f aca="false">Algae_yield_cost_factor/U180</f>
        <v>0.0494667543007484</v>
      </c>
      <c r="BN180" s="18" t="n">
        <f aca="false">Algae_yield_cost_factor/V180</f>
        <v>0.0471121544183537</v>
      </c>
      <c r="BO180" s="18" t="n">
        <f aca="false">Algae_yield_cost_factor/W180</f>
        <v>0.0455284891666023</v>
      </c>
      <c r="BP180" s="18" t="n">
        <f aca="false">Algae_yield_cost_factor/X180</f>
        <v>0.0445028783742347</v>
      </c>
      <c r="BQ180" s="18" t="n">
        <f aca="false">Algae_yield_cost_factor/Y180</f>
        <v>0.0438548520197003</v>
      </c>
      <c r="BR180" s="18" t="n">
        <f aca="false">Algae_yield_cost_factor/Z180</f>
        <v>0.0434517586831835</v>
      </c>
      <c r="BS180" s="18" t="n">
        <f aca="false">Algae_yield_cost_factor/AA180</f>
        <v>0.0432034579273313</v>
      </c>
      <c r="BT180" s="18" t="n">
        <f aca="false">Algae_yield_cost_factor/AB180</f>
        <v>0.0430514264710479</v>
      </c>
      <c r="BU180" s="18" t="n">
        <f aca="false">Algae_yield_cost_factor/AC180</f>
        <v>0.0429586827243354</v>
      </c>
    </row>
    <row r="181" customFormat="false" ht="15" hidden="false" customHeight="false" outlineLevel="0" collapsed="false">
      <c r="A181" s="18" t="s">
        <v>715</v>
      </c>
      <c r="B181" s="18" t="s">
        <v>22</v>
      </c>
      <c r="C181" s="18" t="s">
        <v>693</v>
      </c>
      <c r="D181" s="18" t="s">
        <v>693</v>
      </c>
      <c r="E181" s="185" t="n">
        <v>8.349</v>
      </c>
      <c r="F181" s="18" t="n">
        <f aca="false">E181/$B$2*$F$3/1000</f>
        <v>0.02045505</v>
      </c>
      <c r="G181" s="18" t="n">
        <f aca="false">LOOKUP(RIGHT(D181,5),Ref!$C$4:$C$21,Ref!$E$4:$E$21)*$G$3</f>
        <v>3</v>
      </c>
      <c r="H181" s="222" t="n">
        <f aca="false">$E181</f>
        <v>8.349</v>
      </c>
      <c r="I181" s="185" t="n">
        <f aca="false">$E181</f>
        <v>8.349</v>
      </c>
      <c r="J181" s="185" t="n">
        <f aca="false">$E181</f>
        <v>8.349</v>
      </c>
      <c r="K181" s="185" t="n">
        <f aca="false">$E181</f>
        <v>8.349</v>
      </c>
      <c r="L181" s="185" t="n">
        <f aca="false">$E181</f>
        <v>8.349</v>
      </c>
      <c r="M181" s="185" t="n">
        <f aca="false">M$3*$E181</f>
        <v>8.7449586151595</v>
      </c>
      <c r="N181" s="185" t="n">
        <f aca="false">N$3*$E181</f>
        <v>8.98233994499736</v>
      </c>
      <c r="O181" s="185" t="n">
        <f aca="false">O$3*$E181</f>
        <v>9.34422519596266</v>
      </c>
      <c r="P181" s="185" t="n">
        <f aca="false">P$3*$E181</f>
        <v>9.87207069825927</v>
      </c>
      <c r="Q181" s="185" t="n">
        <f aca="false">Q$3*$E181</f>
        <v>10.5943919270181</v>
      </c>
      <c r="R181" s="185" t="n">
        <f aca="false">R$3*$E181</f>
        <v>11.5010870437957</v>
      </c>
      <c r="S181" s="185" t="n">
        <f aca="false">S$3*$E181</f>
        <v>12.5235</v>
      </c>
      <c r="T181" s="185" t="n">
        <f aca="false">T$3*$E181</f>
        <v>13.5459129562043</v>
      </c>
      <c r="U181" s="185" t="n">
        <f aca="false">U$3*$E181</f>
        <v>14.4526080729819</v>
      </c>
      <c r="V181" s="185" t="n">
        <f aca="false">V$3*$E181</f>
        <v>15.1749293017407</v>
      </c>
      <c r="W181" s="185" t="n">
        <f aca="false">W$3*$E181</f>
        <v>15.7027748040373</v>
      </c>
      <c r="X181" s="185" t="n">
        <f aca="false">X$3*$E181</f>
        <v>16.0646600550026</v>
      </c>
      <c r="Y181" s="185" t="n">
        <f aca="false">Y$3*$E181</f>
        <v>16.3020413848405</v>
      </c>
      <c r="Z181" s="185" t="n">
        <f aca="false">Z$3*$E181</f>
        <v>16.4532721854569</v>
      </c>
      <c r="AA181" s="185" t="n">
        <f aca="false">AA$3*$E181</f>
        <v>16.5478331330265</v>
      </c>
      <c r="AB181" s="185" t="n">
        <f aca="false">AB$3*$E181</f>
        <v>16.6062700159772</v>
      </c>
      <c r="AC181" s="185" t="n">
        <f aca="false">AC$3*$E181</f>
        <v>16.6421213876331</v>
      </c>
      <c r="AD181" s="219" t="n">
        <f aca="false">Algae_electricity_factor/H181</f>
        <v>0.00164613691502327</v>
      </c>
      <c r="AE181" s="220" t="n">
        <f aca="false">Algae_electricity_factor/I181</f>
        <v>0.00164613691502327</v>
      </c>
      <c r="AF181" s="220" t="n">
        <f aca="false">Algae_electricity_factor/J181</f>
        <v>0.00164613691502327</v>
      </c>
      <c r="AG181" s="220" t="n">
        <f aca="false">Algae_electricity_factor/K181</f>
        <v>0.00164613691502327</v>
      </c>
      <c r="AH181" s="220" t="n">
        <f aca="false">Algae_electricity_factor/L181</f>
        <v>0.00164613691502327</v>
      </c>
      <c r="AI181" s="220" t="n">
        <f aca="false">Algae_electricity_factor/M181</f>
        <v>0.00157160230349227</v>
      </c>
      <c r="AJ181" s="220" t="n">
        <f aca="false">Algae_electricity_factor/N181</f>
        <v>0.00153006868897048</v>
      </c>
      <c r="AK181" s="220" t="n">
        <f aca="false">Algae_electricity_factor/O181</f>
        <v>0.00147081184531677</v>
      </c>
      <c r="AL181" s="220" t="n">
        <f aca="false">Algae_electricity_factor/P181</f>
        <v>0.00139216963933946</v>
      </c>
      <c r="AM181" s="220" t="n">
        <f aca="false">Algae_electricity_factor/Q181</f>
        <v>0.00129725209320225</v>
      </c>
      <c r="AN181" s="220" t="n">
        <f aca="false">Algae_electricity_factor/R181</f>
        <v>0.00119498244393718</v>
      </c>
      <c r="AO181" s="220" t="n">
        <f aca="false">Algae_electricity_factor/S181</f>
        <v>0.00109742461001551</v>
      </c>
      <c r="AP181" s="220" t="n">
        <f aca="false">Algae_electricity_factor/T181</f>
        <v>0.00101459363779792</v>
      </c>
      <c r="AQ181" s="220" t="n">
        <f aca="false">Algae_electricity_factor/U181</f>
        <v>0.00095094235131318</v>
      </c>
      <c r="AR181" s="220" t="n">
        <f aca="false">Algae_electricity_factor/V181</f>
        <v>0.000905677834159841</v>
      </c>
      <c r="AS181" s="220" t="n">
        <f aca="false">Algae_electricity_factor/W181</f>
        <v>0.000875233662524132</v>
      </c>
      <c r="AT181" s="220" t="n">
        <f aca="false">Algae_electricity_factor/X181</f>
        <v>0.000855517456110091</v>
      </c>
      <c r="AU181" s="220" t="n">
        <f aca="false">Algae_electricity_factor/Y181</f>
        <v>0.000843059883059163</v>
      </c>
      <c r="AV181" s="220" t="n">
        <f aca="false">Algae_electricity_factor/Z181</f>
        <v>0.000835310869996866</v>
      </c>
      <c r="AW181" s="220" t="n">
        <f aca="false">Algae_electricity_factor/AA181</f>
        <v>0.000830537569060901</v>
      </c>
      <c r="AX181" s="220" t="n">
        <f aca="false">Algae_electricity_factor/AB181</f>
        <v>0.000827614936424996</v>
      </c>
      <c r="AY181" s="220" t="n">
        <f aca="false">Algae_electricity_factor/AC181</f>
        <v>0.000825832042887405</v>
      </c>
      <c r="AZ181" s="211" t="n">
        <f aca="false">Algae_yield_cost_factor/H181</f>
        <v>0.091129790308566</v>
      </c>
      <c r="BA181" s="18" t="n">
        <f aca="false">Algae_yield_cost_factor/I181</f>
        <v>0.091129790308566</v>
      </c>
      <c r="BB181" s="18" t="n">
        <f aca="false">Algae_yield_cost_factor/J181</f>
        <v>0.091129790308566</v>
      </c>
      <c r="BC181" s="18" t="n">
        <f aca="false">Algae_yield_cost_factor/K181</f>
        <v>0.091129790308566</v>
      </c>
      <c r="BD181" s="18" t="n">
        <f aca="false">Algae_yield_cost_factor/L181</f>
        <v>0.091129790308566</v>
      </c>
      <c r="BE181" s="18" t="n">
        <f aca="false">Algae_yield_cost_factor/M181</f>
        <v>0.0870035700303129</v>
      </c>
      <c r="BF181" s="18" t="n">
        <f aca="false">Algae_yield_cost_factor/N181</f>
        <v>0.0847042779437403</v>
      </c>
      <c r="BG181" s="18" t="n">
        <f aca="false">Algae_yield_cost_factor/O181</f>
        <v>0.0814238316532604</v>
      </c>
      <c r="BH181" s="18" t="n">
        <f aca="false">Algae_yield_cost_factor/P181</f>
        <v>0.0770702158180833</v>
      </c>
      <c r="BI181" s="18" t="n">
        <f aca="false">Algae_yield_cost_factor/Q181</f>
        <v>0.0718156006052502</v>
      </c>
      <c r="BJ181" s="18" t="n">
        <f aca="false">Algae_yield_cost_factor/R181</f>
        <v>0.0661539745233609</v>
      </c>
      <c r="BK181" s="18" t="n">
        <f aca="false">Algae_yield_cost_factor/S181</f>
        <v>0.060753193539044</v>
      </c>
      <c r="BL181" s="18" t="n">
        <f aca="false">Algae_yield_cost_factor/T181</f>
        <v>0.0561676884936528</v>
      </c>
      <c r="BM181" s="18" t="n">
        <f aca="false">Algae_yield_cost_factor/U181</f>
        <v>0.0526439667805396</v>
      </c>
      <c r="BN181" s="18" t="n">
        <f aca="false">Algae_yield_cost_factor/V181</f>
        <v>0.0501381327159752</v>
      </c>
      <c r="BO181" s="18" t="n">
        <f aca="false">Algae_yield_cost_factor/W181</f>
        <v>0.0484527498344176</v>
      </c>
      <c r="BP181" s="18" t="n">
        <f aca="false">Algae_yield_cost_factor/X181</f>
        <v>0.0473612648310779</v>
      </c>
      <c r="BQ181" s="18" t="n">
        <f aca="false">Algae_yield_cost_factor/Y181</f>
        <v>0.0466716162304518</v>
      </c>
      <c r="BR181" s="18" t="n">
        <f aca="false">Algae_yield_cost_factor/Z181</f>
        <v>0.0462426325116488</v>
      </c>
      <c r="BS181" s="18" t="n">
        <f aca="false">Algae_yield_cost_factor/AA181</f>
        <v>0.0459783835847192</v>
      </c>
      <c r="BT181" s="18" t="n">
        <f aca="false">Algae_yield_cost_factor/AB181</f>
        <v>0.0458165872621725</v>
      </c>
      <c r="BU181" s="18" t="n">
        <f aca="false">Algae_yield_cost_factor/AC181</f>
        <v>0.0457178866542582</v>
      </c>
    </row>
    <row r="182" customFormat="false" ht="15" hidden="false" customHeight="false" outlineLevel="0" collapsed="false">
      <c r="A182" s="18" t="s">
        <v>715</v>
      </c>
      <c r="B182" s="18" t="s">
        <v>22</v>
      </c>
      <c r="C182" s="18" t="s">
        <v>694</v>
      </c>
      <c r="D182" s="18" t="s">
        <v>694</v>
      </c>
      <c r="E182" s="185" t="n">
        <v>8.35725</v>
      </c>
      <c r="F182" s="18" t="n">
        <f aca="false">E182/$B$2*$F$3/1000</f>
        <v>0.0204752625</v>
      </c>
      <c r="G182" s="18" t="n">
        <f aca="false">LOOKUP(RIGHT(D182,5),Ref!$C$4:$C$21,Ref!$E$4:$E$21)*$G$3</f>
        <v>3</v>
      </c>
      <c r="H182" s="222" t="n">
        <f aca="false">$E182</f>
        <v>8.35725</v>
      </c>
      <c r="I182" s="185" t="n">
        <f aca="false">$E182</f>
        <v>8.35725</v>
      </c>
      <c r="J182" s="185" t="n">
        <f aca="false">$E182</f>
        <v>8.35725</v>
      </c>
      <c r="K182" s="185" t="n">
        <f aca="false">$E182</f>
        <v>8.35725</v>
      </c>
      <c r="L182" s="185" t="n">
        <f aca="false">$E182</f>
        <v>8.35725</v>
      </c>
      <c r="M182" s="185" t="n">
        <f aca="false">M$3*$E182</f>
        <v>8.75359987861322</v>
      </c>
      <c r="N182" s="185" t="n">
        <f aca="false">N$3*$E182</f>
        <v>8.99121577498254</v>
      </c>
      <c r="O182" s="185" t="n">
        <f aca="false">O$3*$E182</f>
        <v>9.35345862006934</v>
      </c>
      <c r="P182" s="185" t="n">
        <f aca="false">P$3*$E182</f>
        <v>9.88182570883067</v>
      </c>
      <c r="Q182" s="185" t="n">
        <f aca="false">Q$3*$E182</f>
        <v>10.6048606937444</v>
      </c>
      <c r="R182" s="185" t="n">
        <f aca="false">R$3*$E182</f>
        <v>11.5124517543133</v>
      </c>
      <c r="S182" s="185" t="n">
        <f aca="false">S$3*$E182</f>
        <v>12.535875</v>
      </c>
      <c r="T182" s="185" t="n">
        <f aca="false">T$3*$E182</f>
        <v>13.5592982456867</v>
      </c>
      <c r="U182" s="185" t="n">
        <f aca="false">U$3*$E182</f>
        <v>14.4668893062556</v>
      </c>
      <c r="V182" s="185" t="n">
        <f aca="false">V$3*$E182</f>
        <v>15.1899242911693</v>
      </c>
      <c r="W182" s="185" t="n">
        <f aca="false">W$3*$E182</f>
        <v>15.7182913799307</v>
      </c>
      <c r="X182" s="185" t="n">
        <f aca="false">X$3*$E182</f>
        <v>16.0805342250175</v>
      </c>
      <c r="Y182" s="185" t="n">
        <f aca="false">Y$3*$E182</f>
        <v>16.3181501213868</v>
      </c>
      <c r="Z182" s="185" t="n">
        <f aca="false">Z$3*$E182</f>
        <v>16.4695303595532</v>
      </c>
      <c r="AA182" s="185" t="n">
        <f aca="false">AA$3*$E182</f>
        <v>16.5641847467943</v>
      </c>
      <c r="AB182" s="185" t="n">
        <f aca="false">AB$3*$E182</f>
        <v>16.6226793737005</v>
      </c>
      <c r="AC182" s="185" t="n">
        <f aca="false">AC$3*$E182</f>
        <v>16.658566171613</v>
      </c>
      <c r="AD182" s="219" t="n">
        <f aca="false">Algae_electricity_factor/H182</f>
        <v>0.00164451190326115</v>
      </c>
      <c r="AE182" s="220" t="n">
        <f aca="false">Algae_electricity_factor/I182</f>
        <v>0.00164451190326115</v>
      </c>
      <c r="AF182" s="220" t="n">
        <f aca="false">Algae_electricity_factor/J182</f>
        <v>0.00164451190326115</v>
      </c>
      <c r="AG182" s="220" t="n">
        <f aca="false">Algae_electricity_factor/K182</f>
        <v>0.00164451190326115</v>
      </c>
      <c r="AH182" s="220" t="n">
        <f aca="false">Algae_electricity_factor/L182</f>
        <v>0.00164451190326115</v>
      </c>
      <c r="AI182" s="220" t="n">
        <f aca="false">Algae_electricity_factor/M182</f>
        <v>0.00157005086982644</v>
      </c>
      <c r="AJ182" s="220" t="n">
        <f aca="false">Algae_electricity_factor/N182</f>
        <v>0.00152855825591128</v>
      </c>
      <c r="AK182" s="220" t="n">
        <f aca="false">Algae_electricity_factor/O182</f>
        <v>0.00146935990864814</v>
      </c>
      <c r="AL182" s="220" t="n">
        <f aca="false">Algae_electricity_factor/P182</f>
        <v>0.00139079533564811</v>
      </c>
      <c r="AM182" s="220" t="n">
        <f aca="false">Algae_electricity_factor/Q182</f>
        <v>0.00129597148896415</v>
      </c>
      <c r="AN182" s="220" t="n">
        <f aca="false">Algae_electricity_factor/R182</f>
        <v>0.00119380279690467</v>
      </c>
      <c r="AO182" s="220" t="n">
        <f aca="false">Algae_electricity_factor/S182</f>
        <v>0.00109634126884077</v>
      </c>
      <c r="AP182" s="220" t="n">
        <f aca="false">Algae_electricity_factor/T182</f>
        <v>0.00101359206461154</v>
      </c>
      <c r="AQ182" s="220" t="n">
        <f aca="false">Algae_electricity_factor/U182</f>
        <v>0.000950003612565585</v>
      </c>
      <c r="AR182" s="220" t="n">
        <f aca="false">Algae_electricity_factor/V182</f>
        <v>0.000904783779042211</v>
      </c>
      <c r="AS182" s="220" t="n">
        <f aca="false">Algae_electricity_factor/W182</f>
        <v>0.000874369660882944</v>
      </c>
      <c r="AT182" s="220" t="n">
        <f aca="false">Algae_electricity_factor/X182</f>
        <v>0.000854672917653912</v>
      </c>
      <c r="AU182" s="220" t="n">
        <f aca="false">Algae_electricity_factor/Y182</f>
        <v>0.000842227642305896</v>
      </c>
      <c r="AV182" s="220" t="n">
        <f aca="false">Algae_electricity_factor/Z182</f>
        <v>0.000834486278812269</v>
      </c>
      <c r="AW182" s="220" t="n">
        <f aca="false">Algae_electricity_factor/AA182</f>
        <v>0.000829717689920663</v>
      </c>
      <c r="AX182" s="220" t="n">
        <f aca="false">Algae_electricity_factor/AB182</f>
        <v>0.000826797942410756</v>
      </c>
      <c r="AY182" s="220" t="n">
        <f aca="false">Algae_electricity_factor/AC182</f>
        <v>0.000825016808886529</v>
      </c>
      <c r="AZ182" s="211" t="n">
        <f aca="false">Algae_yield_cost_factor/H182</f>
        <v>0.0910398300022397</v>
      </c>
      <c r="BA182" s="18" t="n">
        <f aca="false">Algae_yield_cost_factor/I182</f>
        <v>0.0910398300022397</v>
      </c>
      <c r="BB182" s="18" t="n">
        <f aca="false">Algae_yield_cost_factor/J182</f>
        <v>0.0910398300022397</v>
      </c>
      <c r="BC182" s="18" t="n">
        <f aca="false">Algae_yield_cost_factor/K182</f>
        <v>0.0910398300022397</v>
      </c>
      <c r="BD182" s="18" t="n">
        <f aca="false">Algae_yield_cost_factor/L182</f>
        <v>0.0910398300022397</v>
      </c>
      <c r="BE182" s="18" t="n">
        <f aca="false">Algae_yield_cost_factor/M182</f>
        <v>0.0869176829917834</v>
      </c>
      <c r="BF182" s="18" t="n">
        <f aca="false">Algae_yield_cost_factor/N182</f>
        <v>0.084620660690094</v>
      </c>
      <c r="BG182" s="18" t="n">
        <f aca="false">Algae_yield_cost_factor/O182</f>
        <v>0.0813434527473835</v>
      </c>
      <c r="BH182" s="18" t="n">
        <f aca="false">Algae_yield_cost_factor/P182</f>
        <v>0.0769941346573547</v>
      </c>
      <c r="BI182" s="18" t="n">
        <f aca="false">Algae_yield_cost_factor/Q182</f>
        <v>0.0717447066263704</v>
      </c>
      <c r="BJ182" s="18" t="n">
        <f aca="false">Algae_yield_cost_factor/R182</f>
        <v>0.0660886695139597</v>
      </c>
      <c r="BK182" s="18" t="n">
        <f aca="false">Algae_yield_cost_factor/S182</f>
        <v>0.0606932200014932</v>
      </c>
      <c r="BL182" s="18" t="n">
        <f aca="false">Algae_yield_cost_factor/T182</f>
        <v>0.056112241614587</v>
      </c>
      <c r="BM182" s="18" t="n">
        <f aca="false">Algae_yield_cost_factor/U182</f>
        <v>0.0525919984026713</v>
      </c>
      <c r="BN182" s="18" t="n">
        <f aca="false">Algae_yield_cost_factor/V182</f>
        <v>0.05008863801438</v>
      </c>
      <c r="BO182" s="18" t="n">
        <f aca="false">Algae_yield_cost_factor/W182</f>
        <v>0.048404918886901</v>
      </c>
      <c r="BP182" s="18" t="n">
        <f aca="false">Algae_yield_cost_factor/X182</f>
        <v>0.0473145113613532</v>
      </c>
      <c r="BQ182" s="18" t="n">
        <f aca="false">Algae_yield_cost_factor/Y182</f>
        <v>0.0466255435589508</v>
      </c>
      <c r="BR182" s="18" t="n">
        <f aca="false">Algae_yield_cost_factor/Z182</f>
        <v>0.0461969833186462</v>
      </c>
      <c r="BS182" s="18" t="n">
        <f aca="false">Algae_yield_cost_factor/AA182</f>
        <v>0.0459329952494924</v>
      </c>
      <c r="BT182" s="18" t="n">
        <f aca="false">Algae_yield_cost_factor/AB182</f>
        <v>0.0457713586469088</v>
      </c>
      <c r="BU182" s="18" t="n">
        <f aca="false">Algae_yield_cost_factor/AC182</f>
        <v>0.0456727554729608</v>
      </c>
    </row>
    <row r="183" customFormat="false" ht="15" hidden="false" customHeight="false" outlineLevel="0" collapsed="false">
      <c r="A183" s="18" t="s">
        <v>715</v>
      </c>
      <c r="B183" s="18" t="s">
        <v>22</v>
      </c>
      <c r="C183" s="18" t="s">
        <v>682</v>
      </c>
      <c r="D183" s="18" t="s">
        <v>682</v>
      </c>
      <c r="E183" s="185" t="n">
        <v>7.722</v>
      </c>
      <c r="F183" s="18" t="n">
        <f aca="false">E183/$B$2*$F$3/1000</f>
        <v>0.0189189</v>
      </c>
      <c r="G183" s="18" t="n">
        <f aca="false">LOOKUP(RIGHT(D183,5),Ref!$C$4:$C$21,Ref!$E$4:$E$21)*$G$3</f>
        <v>3</v>
      </c>
      <c r="H183" s="222" t="n">
        <f aca="false">$E183</f>
        <v>7.722</v>
      </c>
      <c r="I183" s="185" t="n">
        <f aca="false">$E183</f>
        <v>7.722</v>
      </c>
      <c r="J183" s="185" t="n">
        <f aca="false">$E183</f>
        <v>7.722</v>
      </c>
      <c r="K183" s="185" t="n">
        <f aca="false">$E183</f>
        <v>7.722</v>
      </c>
      <c r="L183" s="185" t="n">
        <f aca="false">$E183</f>
        <v>7.722</v>
      </c>
      <c r="M183" s="185" t="n">
        <f aca="false">M$3*$E183</f>
        <v>8.08822259267717</v>
      </c>
      <c r="N183" s="185" t="n">
        <f aca="false">N$3*$E183</f>
        <v>8.30777686612404</v>
      </c>
      <c r="O183" s="185" t="n">
        <f aca="false">O$3*$E183</f>
        <v>8.64248496385479</v>
      </c>
      <c r="P183" s="185" t="n">
        <f aca="false">P$3*$E183</f>
        <v>9.13068989483269</v>
      </c>
      <c r="Q183" s="185" t="n">
        <f aca="false">Q$3*$E183</f>
        <v>9.7987656558191</v>
      </c>
      <c r="R183" s="185" t="n">
        <f aca="false">R$3*$E183</f>
        <v>10.6373690444593</v>
      </c>
      <c r="S183" s="185" t="n">
        <f aca="false">S$3*$E183</f>
        <v>11.583</v>
      </c>
      <c r="T183" s="185" t="n">
        <f aca="false">T$3*$E183</f>
        <v>12.5286309555407</v>
      </c>
      <c r="U183" s="185" t="n">
        <f aca="false">U$3*$E183</f>
        <v>13.3672343441809</v>
      </c>
      <c r="V183" s="185" t="n">
        <f aca="false">V$3*$E183</f>
        <v>14.0353101051673</v>
      </c>
      <c r="W183" s="185" t="n">
        <f aca="false">W$3*$E183</f>
        <v>14.5235150361452</v>
      </c>
      <c r="X183" s="185" t="n">
        <f aca="false">X$3*$E183</f>
        <v>14.858223133876</v>
      </c>
      <c r="Y183" s="185" t="n">
        <f aca="false">Y$3*$E183</f>
        <v>15.0777774073228</v>
      </c>
      <c r="Z183" s="185" t="n">
        <f aca="false">Z$3*$E183</f>
        <v>15.217650954138</v>
      </c>
      <c r="AA183" s="185" t="n">
        <f aca="false">AA$3*$E183</f>
        <v>15.3051104866727</v>
      </c>
      <c r="AB183" s="185" t="n">
        <f aca="false">AB$3*$E183</f>
        <v>15.3591588290066</v>
      </c>
      <c r="AC183" s="185" t="n">
        <f aca="false">AC$3*$E183</f>
        <v>15.3923178051627</v>
      </c>
      <c r="AD183" s="219" t="n">
        <f aca="false">Algae_electricity_factor/H183</f>
        <v>0.00177979760470464</v>
      </c>
      <c r="AE183" s="220" t="n">
        <f aca="false">Algae_electricity_factor/I183</f>
        <v>0.00177979760470464</v>
      </c>
      <c r="AF183" s="220" t="n">
        <f aca="false">Algae_electricity_factor/J183</f>
        <v>0.00177979760470464</v>
      </c>
      <c r="AG183" s="220" t="n">
        <f aca="false">Algae_electricity_factor/K183</f>
        <v>0.00177979760470464</v>
      </c>
      <c r="AH183" s="220" t="n">
        <f aca="false">Algae_electricity_factor/L183</f>
        <v>0.00177979760470464</v>
      </c>
      <c r="AI183" s="220" t="n">
        <f aca="false">Algae_electricity_factor/M183</f>
        <v>0.00169921103753652</v>
      </c>
      <c r="AJ183" s="220" t="n">
        <f aca="false">Algae_electricity_factor/N183</f>
        <v>0.00165430503551081</v>
      </c>
      <c r="AK183" s="220" t="n">
        <f aca="false">Algae_electricity_factor/O183</f>
        <v>0.00159023673873992</v>
      </c>
      <c r="AL183" s="220" t="n">
        <f aca="false">Algae_electricity_factor/P183</f>
        <v>0.0015052090544995</v>
      </c>
      <c r="AM183" s="220" t="n">
        <f aca="false">Algae_electricity_factor/Q183</f>
        <v>0.00140258452812038</v>
      </c>
      <c r="AN183" s="220" t="n">
        <f aca="false">Algae_electricity_factor/R183</f>
        <v>0.00129201093297482</v>
      </c>
      <c r="AO183" s="220" t="n">
        <f aca="false">Algae_electricity_factor/S183</f>
        <v>0.00118653173646976</v>
      </c>
      <c r="AP183" s="220" t="n">
        <f aca="false">Algae_electricity_factor/T183</f>
        <v>0.00109697517249091</v>
      </c>
      <c r="AQ183" s="220" t="n">
        <f aca="false">Algae_electricity_factor/U183</f>
        <v>0.00102815561915485</v>
      </c>
      <c r="AR183" s="220" t="n">
        <f aca="false">Algae_electricity_factor/V183</f>
        <v>0.000979215777959145</v>
      </c>
      <c r="AS183" s="220" t="n">
        <f aca="false">Algae_electricity_factor/W183</f>
        <v>0.000946299643669254</v>
      </c>
      <c r="AT183" s="220" t="n">
        <f aca="false">Algae_electricity_factor/X183</f>
        <v>0.000924982548700227</v>
      </c>
      <c r="AU183" s="220" t="n">
        <f aca="false">Algae_electricity_factor/Y183</f>
        <v>0.000911513463307556</v>
      </c>
      <c r="AV183" s="220" t="n">
        <f aca="false">Algae_electricity_factor/Z183</f>
        <v>0.000903135256876953</v>
      </c>
      <c r="AW183" s="220" t="n">
        <f aca="false">Algae_electricity_factor/AA183</f>
        <v>0.000897974380223966</v>
      </c>
      <c r="AX183" s="220" t="n">
        <f aca="false">Algae_electricity_factor/AB183</f>
        <v>0.000894814439809931</v>
      </c>
      <c r="AY183" s="220" t="n">
        <f aca="false">Algae_electricity_factor/AC183</f>
        <v>0.000892886781412451</v>
      </c>
      <c r="AZ183" s="211" t="n">
        <f aca="false">Algae_yield_cost_factor/H183</f>
        <v>0.0985292177267829</v>
      </c>
      <c r="BA183" s="18" t="n">
        <f aca="false">Algae_yield_cost_factor/I183</f>
        <v>0.0985292177267829</v>
      </c>
      <c r="BB183" s="18" t="n">
        <f aca="false">Algae_yield_cost_factor/J183</f>
        <v>0.0985292177267829</v>
      </c>
      <c r="BC183" s="18" t="n">
        <f aca="false">Algae_yield_cost_factor/K183</f>
        <v>0.0985292177267829</v>
      </c>
      <c r="BD183" s="18" t="n">
        <f aca="false">Algae_yield_cost_factor/L183</f>
        <v>0.0985292177267829</v>
      </c>
      <c r="BE183" s="18" t="n">
        <f aca="false">Algae_yield_cost_factor/M183</f>
        <v>0.0940679624686716</v>
      </c>
      <c r="BF183" s="18" t="n">
        <f aca="false">Algae_yield_cost_factor/N183</f>
        <v>0.091581975725497</v>
      </c>
      <c r="BG183" s="18" t="n">
        <f aca="false">Algae_yield_cost_factor/O183</f>
        <v>0.0880351684114311</v>
      </c>
      <c r="BH183" s="18" t="n">
        <f aca="false">Algae_yield_cost_factor/P183</f>
        <v>0.0833280538545943</v>
      </c>
      <c r="BI183" s="18" t="n">
        <f aca="false">Algae_yield_cost_factor/Q183</f>
        <v>0.0776467818509756</v>
      </c>
      <c r="BJ183" s="18" t="n">
        <f aca="false">Algae_yield_cost_factor/R183</f>
        <v>0.0715254510872235</v>
      </c>
      <c r="BK183" s="18" t="n">
        <f aca="false">Algae_yield_cost_factor/S183</f>
        <v>0.0656861451511886</v>
      </c>
      <c r="BL183" s="18" t="n">
        <f aca="false">Algae_yield_cost_factor/T183</f>
        <v>0.060728312773052</v>
      </c>
      <c r="BM183" s="18" t="n">
        <f aca="false">Algae_yield_cost_factor/U183</f>
        <v>0.0569184769037458</v>
      </c>
      <c r="BN183" s="18" t="n">
        <f aca="false">Algae_yield_cost_factor/V183</f>
        <v>0.0542091776800929</v>
      </c>
      <c r="BO183" s="18" t="n">
        <f aca="false">Algae_yield_cost_factor/W183</f>
        <v>0.0523869474705456</v>
      </c>
      <c r="BP183" s="18" t="n">
        <f aca="false">Algae_yield_cost_factor/X183</f>
        <v>0.0512068376165073</v>
      </c>
      <c r="BQ183" s="18" t="n">
        <f aca="false">Algae_yield_cost_factor/Y183</f>
        <v>0.0504611919072833</v>
      </c>
      <c r="BR183" s="18" t="n">
        <f aca="false">Algae_yield_cost_factor/Z183</f>
        <v>0.0499973761771246</v>
      </c>
      <c r="BS183" s="18" t="n">
        <f aca="false">Algae_yield_cost_factor/AA183</f>
        <v>0.0497116711407434</v>
      </c>
      <c r="BT183" s="18" t="n">
        <f aca="false">Algae_yield_cost_factor/AB183</f>
        <v>0.0495367375099558</v>
      </c>
      <c r="BU183" s="18" t="n">
        <f aca="false">Algae_yield_cost_factor/AC183</f>
        <v>0.0494300227501167</v>
      </c>
    </row>
    <row r="184" customFormat="false" ht="15" hidden="false" customHeight="false" outlineLevel="0" collapsed="false">
      <c r="A184" s="18" t="s">
        <v>716</v>
      </c>
      <c r="B184" s="18" t="s">
        <v>22</v>
      </c>
      <c r="C184" s="18" t="s">
        <v>690</v>
      </c>
      <c r="D184" s="18" t="s">
        <v>690</v>
      </c>
      <c r="E184" s="185" t="n">
        <v>8.019</v>
      </c>
      <c r="F184" s="18" t="n">
        <f aca="false">E184/$B$2*$F$3/1000</f>
        <v>0.01964655</v>
      </c>
      <c r="G184" s="18" t="n">
        <f aca="false">LOOKUP(RIGHT(D184,5),Ref!$C$4:$C$21,Ref!$E$4:$E$21)*$G$3</f>
        <v>1.5</v>
      </c>
      <c r="H184" s="222" t="n">
        <f aca="false">$E184</f>
        <v>8.019</v>
      </c>
      <c r="I184" s="185" t="n">
        <f aca="false">$E184</f>
        <v>8.019</v>
      </c>
      <c r="J184" s="185" t="n">
        <f aca="false">$E184</f>
        <v>8.019</v>
      </c>
      <c r="K184" s="185" t="n">
        <f aca="false">$E184</f>
        <v>8.019</v>
      </c>
      <c r="L184" s="185" t="n">
        <f aca="false">$E184</f>
        <v>8.019</v>
      </c>
      <c r="M184" s="185" t="n">
        <f aca="false">M$3*$E184</f>
        <v>8.39930807701091</v>
      </c>
      <c r="N184" s="185" t="n">
        <f aca="false">N$3*$E184</f>
        <v>8.62730674559035</v>
      </c>
      <c r="O184" s="185" t="n">
        <f aca="false">O$3*$E184</f>
        <v>8.97488823169536</v>
      </c>
      <c r="P184" s="185" t="n">
        <f aca="false">P$3*$E184</f>
        <v>9.48187027540317</v>
      </c>
      <c r="Q184" s="185" t="n">
        <f aca="false">Q$3*$E184</f>
        <v>10.175641257966</v>
      </c>
      <c r="R184" s="185" t="n">
        <f aca="false">R$3*$E184</f>
        <v>11.0464986230923</v>
      </c>
      <c r="S184" s="185" t="n">
        <f aca="false">S$3*$E184</f>
        <v>12.0285</v>
      </c>
      <c r="T184" s="185" t="n">
        <f aca="false">T$3*$E184</f>
        <v>13.0105013769077</v>
      </c>
      <c r="U184" s="185" t="n">
        <f aca="false">U$3*$E184</f>
        <v>13.881358742034</v>
      </c>
      <c r="V184" s="185" t="n">
        <f aca="false">V$3*$E184</f>
        <v>14.5751297245968</v>
      </c>
      <c r="W184" s="185" t="n">
        <f aca="false">W$3*$E184</f>
        <v>15.0821117683046</v>
      </c>
      <c r="X184" s="185" t="n">
        <f aca="false">X$3*$E184</f>
        <v>15.4296932544096</v>
      </c>
      <c r="Y184" s="185" t="n">
        <f aca="false">Y$3*$E184</f>
        <v>15.6576919229891</v>
      </c>
      <c r="Z184" s="185" t="n">
        <f aca="false">Z$3*$E184</f>
        <v>15.8029452216049</v>
      </c>
      <c r="AA184" s="185" t="n">
        <f aca="false">AA$3*$E184</f>
        <v>15.893768582314</v>
      </c>
      <c r="AB184" s="185" t="n">
        <f aca="false">AB$3*$E184</f>
        <v>15.9498957070453</v>
      </c>
      <c r="AC184" s="185" t="n">
        <f aca="false">AC$3*$E184</f>
        <v>15.9843300284382</v>
      </c>
      <c r="AD184" s="219" t="n">
        <f aca="false">Algae_electricity_factor/H184</f>
        <v>0.00171387917490077</v>
      </c>
      <c r="AE184" s="220" t="n">
        <f aca="false">Algae_electricity_factor/I184</f>
        <v>0.00171387917490077</v>
      </c>
      <c r="AF184" s="220" t="n">
        <f aca="false">Algae_electricity_factor/J184</f>
        <v>0.00171387917490077</v>
      </c>
      <c r="AG184" s="220" t="n">
        <f aca="false">Algae_electricity_factor/K184</f>
        <v>0.00171387917490077</v>
      </c>
      <c r="AH184" s="220" t="n">
        <f aca="false">Algae_electricity_factor/L184</f>
        <v>0.00171387917490077</v>
      </c>
      <c r="AI184" s="220" t="n">
        <f aca="false">Algae_electricity_factor/M184</f>
        <v>0.00163627729540553</v>
      </c>
      <c r="AJ184" s="220" t="n">
        <f aca="false">Algae_electricity_factor/N184</f>
        <v>0.00159303447864004</v>
      </c>
      <c r="AK184" s="220" t="n">
        <f aca="false">Algae_electricity_factor/O184</f>
        <v>0.00153133908174955</v>
      </c>
      <c r="AL184" s="220" t="n">
        <f aca="false">Algae_electricity_factor/P184</f>
        <v>0.00144946057099952</v>
      </c>
      <c r="AM184" s="220" t="n">
        <f aca="false">Algae_electricity_factor/Q184</f>
        <v>0.00135063695300481</v>
      </c>
      <c r="AN184" s="220" t="n">
        <f aca="false">Algae_electricity_factor/R184</f>
        <v>0.00124415867619797</v>
      </c>
      <c r="AO184" s="220" t="n">
        <f aca="false">Algae_electricity_factor/S184</f>
        <v>0.00114258611660051</v>
      </c>
      <c r="AP184" s="220" t="n">
        <f aca="false">Algae_electricity_factor/T184</f>
        <v>0.00105634646239866</v>
      </c>
      <c r="AQ184" s="220" t="n">
        <f aca="false">Algae_electricity_factor/U184</f>
        <v>0.000990075781408372</v>
      </c>
      <c r="AR184" s="220" t="n">
        <f aca="false">Algae_electricity_factor/V184</f>
        <v>0.000942948526923621</v>
      </c>
      <c r="AS184" s="220" t="n">
        <f aca="false">Algae_electricity_factor/W184</f>
        <v>0.000911251508718541</v>
      </c>
      <c r="AT184" s="220" t="n">
        <f aca="false">Algae_electricity_factor/X184</f>
        <v>0.000890723935785404</v>
      </c>
      <c r="AU184" s="220" t="n">
        <f aca="false">Algae_electricity_factor/Y184</f>
        <v>0.000877753705407276</v>
      </c>
      <c r="AV184" s="220" t="n">
        <f aca="false">Algae_electricity_factor/Z184</f>
        <v>0.000869685802918547</v>
      </c>
      <c r="AW184" s="220" t="n">
        <f aca="false">Algae_electricity_factor/AA184</f>
        <v>0.0008647160698453</v>
      </c>
      <c r="AX184" s="220" t="n">
        <f aca="false">Algae_electricity_factor/AB184</f>
        <v>0.000861673164261415</v>
      </c>
      <c r="AY184" s="220" t="n">
        <f aca="false">Algae_electricity_factor/AC184</f>
        <v>0.000859816900619397</v>
      </c>
      <c r="AZ184" s="211" t="n">
        <f aca="false">Algae_yield_cost_factor/H184</f>
        <v>0.0948799874406058</v>
      </c>
      <c r="BA184" s="18" t="n">
        <f aca="false">Algae_yield_cost_factor/I184</f>
        <v>0.0948799874406058</v>
      </c>
      <c r="BB184" s="18" t="n">
        <f aca="false">Algae_yield_cost_factor/J184</f>
        <v>0.0948799874406058</v>
      </c>
      <c r="BC184" s="18" t="n">
        <f aca="false">Algae_yield_cost_factor/K184</f>
        <v>0.0948799874406058</v>
      </c>
      <c r="BD184" s="18" t="n">
        <f aca="false">Algae_yield_cost_factor/L184</f>
        <v>0.0948799874406058</v>
      </c>
      <c r="BE184" s="18" t="n">
        <f aca="false">Algae_yield_cost_factor/M184</f>
        <v>0.0905839638587208</v>
      </c>
      <c r="BF184" s="18" t="n">
        <f aca="false">Algae_yield_cost_factor/N184</f>
        <v>0.0881900506986268</v>
      </c>
      <c r="BG184" s="18" t="n">
        <f aca="false">Algae_yield_cost_factor/O184</f>
        <v>0.0847746066184151</v>
      </c>
      <c r="BH184" s="18" t="n">
        <f aca="false">Algae_yield_cost_factor/P184</f>
        <v>0.0802418296377575</v>
      </c>
      <c r="BI184" s="18" t="n">
        <f aca="false">Algae_yield_cost_factor/Q184</f>
        <v>0.0747709751157543</v>
      </c>
      <c r="BJ184" s="18" t="n">
        <f aca="false">Algae_yield_cost_factor/R184</f>
        <v>0.0688763603062152</v>
      </c>
      <c r="BK184" s="18" t="n">
        <f aca="false">Algae_yield_cost_factor/S184</f>
        <v>0.0632533249604039</v>
      </c>
      <c r="BL184" s="18" t="n">
        <f aca="false">Algae_yield_cost_factor/T184</f>
        <v>0.0584791160036797</v>
      </c>
      <c r="BM184" s="18" t="n">
        <f aca="false">Algae_yield_cost_factor/U184</f>
        <v>0.05481038516657</v>
      </c>
      <c r="BN184" s="18" t="n">
        <f aca="false">Algae_yield_cost_factor/V184</f>
        <v>0.0522014303586079</v>
      </c>
      <c r="BO184" s="18" t="n">
        <f aca="false">Algae_yield_cost_factor/W184</f>
        <v>0.0504466901568217</v>
      </c>
      <c r="BP184" s="18" t="n">
        <f aca="false">Algae_yield_cost_factor/X184</f>
        <v>0.0493102880751551</v>
      </c>
      <c r="BQ184" s="18" t="n">
        <f aca="false">Algae_yield_cost_factor/Y184</f>
        <v>0.0485922588736802</v>
      </c>
      <c r="BR184" s="18" t="n">
        <f aca="false">Algae_yield_cost_factor/Z184</f>
        <v>0.0481456215038978</v>
      </c>
      <c r="BS184" s="18" t="n">
        <f aca="false">Algae_yield_cost_factor/AA184</f>
        <v>0.0478704981355307</v>
      </c>
      <c r="BT184" s="18" t="n">
        <f aca="false">Algae_yield_cost_factor/AB184</f>
        <v>0.0477020435281056</v>
      </c>
      <c r="BU184" s="18" t="n">
        <f aca="false">Algae_yield_cost_factor/AC184</f>
        <v>0.0475992811667791</v>
      </c>
    </row>
    <row r="185" customFormat="false" ht="15" hidden="false" customHeight="false" outlineLevel="0" collapsed="false">
      <c r="A185" s="18" t="s">
        <v>716</v>
      </c>
      <c r="B185" s="18" t="s">
        <v>22</v>
      </c>
      <c r="C185" s="18" t="s">
        <v>691</v>
      </c>
      <c r="D185" s="18" t="s">
        <v>691</v>
      </c>
      <c r="E185" s="185" t="n">
        <v>7.69725</v>
      </c>
      <c r="F185" s="18" t="n">
        <f aca="false">E185/$B$2*$F$3/1000</f>
        <v>0.0188582625</v>
      </c>
      <c r="G185" s="18" t="n">
        <f aca="false">LOOKUP(RIGHT(D185,5),Ref!$C$4:$C$21,Ref!$E$4:$E$21)*$G$3</f>
        <v>2</v>
      </c>
      <c r="H185" s="222" t="n">
        <f aca="false">$E185</f>
        <v>7.69725</v>
      </c>
      <c r="I185" s="185" t="n">
        <f aca="false">$E185</f>
        <v>7.69725</v>
      </c>
      <c r="J185" s="185" t="n">
        <f aca="false">$E185</f>
        <v>7.69725</v>
      </c>
      <c r="K185" s="185" t="n">
        <f aca="false">$E185</f>
        <v>7.69725</v>
      </c>
      <c r="L185" s="185" t="n">
        <f aca="false">$E185</f>
        <v>7.69725</v>
      </c>
      <c r="M185" s="185" t="n">
        <f aca="false">M$3*$E185</f>
        <v>8.06229880231603</v>
      </c>
      <c r="N185" s="185" t="n">
        <f aca="false">N$3*$E185</f>
        <v>8.28114937616852</v>
      </c>
      <c r="O185" s="185" t="n">
        <f aca="false">O$3*$E185</f>
        <v>8.61478469153474</v>
      </c>
      <c r="P185" s="185" t="n">
        <f aca="false">P$3*$E185</f>
        <v>9.10142486311848</v>
      </c>
      <c r="Q185" s="185" t="n">
        <f aca="false">Q$3*$E185</f>
        <v>9.7673593556402</v>
      </c>
      <c r="R185" s="185" t="n">
        <f aca="false">R$3*$E185</f>
        <v>10.6032749129065</v>
      </c>
      <c r="S185" s="185" t="n">
        <f aca="false">S$3*$E185</f>
        <v>11.545875</v>
      </c>
      <c r="T185" s="185" t="n">
        <f aca="false">T$3*$E185</f>
        <v>12.4884750870935</v>
      </c>
      <c r="U185" s="185" t="n">
        <f aca="false">U$3*$E185</f>
        <v>13.3243906443598</v>
      </c>
      <c r="V185" s="185" t="n">
        <f aca="false">V$3*$E185</f>
        <v>13.9903251368815</v>
      </c>
      <c r="W185" s="185" t="n">
        <f aca="false">W$3*$E185</f>
        <v>14.4769653084653</v>
      </c>
      <c r="X185" s="185" t="n">
        <f aca="false">X$3*$E185</f>
        <v>14.8106006238315</v>
      </c>
      <c r="Y185" s="185" t="n">
        <f aca="false">Y$3*$E185</f>
        <v>15.029451197684</v>
      </c>
      <c r="Z185" s="185" t="n">
        <f aca="false">Z$3*$E185</f>
        <v>15.1688764318491</v>
      </c>
      <c r="AA185" s="185" t="n">
        <f aca="false">AA$3*$E185</f>
        <v>15.2560556453693</v>
      </c>
      <c r="AB185" s="185" t="n">
        <f aca="false">AB$3*$E185</f>
        <v>15.3099307558367</v>
      </c>
      <c r="AC185" s="185" t="n">
        <f aca="false">AC$3*$E185</f>
        <v>15.3429834532231</v>
      </c>
      <c r="AD185" s="219" t="n">
        <f aca="false">Algae_electricity_factor/H185</f>
        <v>0.00178552042658472</v>
      </c>
      <c r="AE185" s="220" t="n">
        <f aca="false">Algae_electricity_factor/I185</f>
        <v>0.00178552042658472</v>
      </c>
      <c r="AF185" s="220" t="n">
        <f aca="false">Algae_electricity_factor/J185</f>
        <v>0.00178552042658472</v>
      </c>
      <c r="AG185" s="220" t="n">
        <f aca="false">Algae_electricity_factor/K185</f>
        <v>0.00178552042658472</v>
      </c>
      <c r="AH185" s="220" t="n">
        <f aca="false">Algae_electricity_factor/L185</f>
        <v>0.00178552042658472</v>
      </c>
      <c r="AI185" s="220" t="n">
        <f aca="false">Algae_electricity_factor/M185</f>
        <v>0.00170467473862184</v>
      </c>
      <c r="AJ185" s="220" t="n">
        <f aca="false">Algae_electricity_factor/N185</f>
        <v>0.00165962434430667</v>
      </c>
      <c r="AK185" s="220" t="n">
        <f aca="false">Algae_electricity_factor/O185</f>
        <v>0.00159535004015066</v>
      </c>
      <c r="AL185" s="220" t="n">
        <f aca="false">Algae_electricity_factor/P185</f>
        <v>0.00151004895499628</v>
      </c>
      <c r="AM185" s="220" t="n">
        <f aca="false">Algae_electricity_factor/Q185</f>
        <v>0.00140709444621723</v>
      </c>
      <c r="AN185" s="220" t="n">
        <f aca="false">Algae_electricity_factor/R185</f>
        <v>0.00129616530896509</v>
      </c>
      <c r="AO185" s="220" t="n">
        <f aca="false">Algae_electricity_factor/S185</f>
        <v>0.00119034695105648</v>
      </c>
      <c r="AP185" s="220" t="n">
        <f aca="false">Algae_electricity_factor/T185</f>
        <v>0.0011005024238494</v>
      </c>
      <c r="AQ185" s="220" t="n">
        <f aca="false">Algae_electricity_factor/U185</f>
        <v>0.00103146158577592</v>
      </c>
      <c r="AR185" s="220" t="n">
        <f aca="false">Algae_electricity_factor/V185</f>
        <v>0.000982364381746795</v>
      </c>
      <c r="AS185" s="220" t="n">
        <f aca="false">Algae_electricity_factor/W185</f>
        <v>0.000949342407796808</v>
      </c>
      <c r="AT185" s="220" t="n">
        <f aca="false">Algae_electricity_factor/X185</f>
        <v>0.000927956769114054</v>
      </c>
      <c r="AU185" s="220" t="n">
        <f aca="false">Algae_electricity_factor/Y185</f>
        <v>0.000914444374765137</v>
      </c>
      <c r="AV185" s="220" t="n">
        <f aca="false">Algae_electricity_factor/Z185</f>
        <v>0.000906039228764017</v>
      </c>
      <c r="AW185" s="220" t="n">
        <f aca="false">Algae_electricity_factor/AA185</f>
        <v>0.000900861757652338</v>
      </c>
      <c r="AX185" s="220" t="n">
        <f aca="false">Algae_electricity_factor/AB185</f>
        <v>0.000897691656658194</v>
      </c>
      <c r="AY185" s="220" t="n">
        <f aca="false">Algae_electricity_factor/AC185</f>
        <v>0.000895757800002201</v>
      </c>
      <c r="AZ185" s="211" t="n">
        <f aca="false">Algae_yield_cost_factor/H185</f>
        <v>0.0988460319316922</v>
      </c>
      <c r="BA185" s="18" t="n">
        <f aca="false">Algae_yield_cost_factor/I185</f>
        <v>0.0988460319316922</v>
      </c>
      <c r="BB185" s="18" t="n">
        <f aca="false">Algae_yield_cost_factor/J185</f>
        <v>0.0988460319316922</v>
      </c>
      <c r="BC185" s="18" t="n">
        <f aca="false">Algae_yield_cost_factor/K185</f>
        <v>0.0988460319316922</v>
      </c>
      <c r="BD185" s="18" t="n">
        <f aca="false">Algae_yield_cost_factor/L185</f>
        <v>0.0988460319316922</v>
      </c>
      <c r="BE185" s="18" t="n">
        <f aca="false">Algae_yield_cost_factor/M185</f>
        <v>0.0943704318013683</v>
      </c>
      <c r="BF185" s="18" t="n">
        <f aca="false">Algae_yield_cost_factor/N185</f>
        <v>0.0918764515316883</v>
      </c>
      <c r="BG185" s="18" t="n">
        <f aca="false">Algae_yield_cost_factor/O185</f>
        <v>0.0883182396924968</v>
      </c>
      <c r="BH185" s="18" t="n">
        <f aca="false">Algae_yield_cost_factor/P185</f>
        <v>0.0835959897190785</v>
      </c>
      <c r="BI185" s="18" t="n">
        <f aca="false">Algae_yield_cost_factor/Q185</f>
        <v>0.0778964499598212</v>
      </c>
      <c r="BJ185" s="18" t="n">
        <f aca="false">Algae_yield_cost_factor/R185</f>
        <v>0.0717554364604943</v>
      </c>
      <c r="BK185" s="18" t="n">
        <f aca="false">Algae_yield_cost_factor/S185</f>
        <v>0.0658973546211281</v>
      </c>
      <c r="BL185" s="18" t="n">
        <f aca="false">Algae_yield_cost_factor/T185</f>
        <v>0.060923580659782</v>
      </c>
      <c r="BM185" s="18" t="n">
        <f aca="false">Algae_yield_cost_factor/U185</f>
        <v>0.0571014945143688</v>
      </c>
      <c r="BN185" s="18" t="n">
        <f aca="false">Algae_yield_cost_factor/V185</f>
        <v>0.0543834837176494</v>
      </c>
      <c r="BO185" s="18" t="n">
        <f aca="false">Algae_yield_cost_factor/W185</f>
        <v>0.0525553942469782</v>
      </c>
      <c r="BP185" s="18" t="n">
        <f aca="false">Algae_yield_cost_factor/X185</f>
        <v>0.0513714898274928</v>
      </c>
      <c r="BQ185" s="18" t="n">
        <f aca="false">Algae_yield_cost_factor/Y185</f>
        <v>0.0506234465436411</v>
      </c>
      <c r="BR185" s="18" t="n">
        <f aca="false">Algae_yield_cost_factor/Z185</f>
        <v>0.0501581394445751</v>
      </c>
      <c r="BS185" s="18" t="n">
        <f aca="false">Algae_yield_cost_factor/AA185</f>
        <v>0.0498715157424821</v>
      </c>
      <c r="BT185" s="18" t="n">
        <f aca="false">Algae_yield_cost_factor/AB185</f>
        <v>0.0496960196241357</v>
      </c>
      <c r="BU185" s="18" t="n">
        <f aca="false">Algae_yield_cost_factor/AC185</f>
        <v>0.0495889617300206</v>
      </c>
    </row>
    <row r="186" customFormat="false" ht="15" hidden="false" customHeight="false" outlineLevel="0" collapsed="false">
      <c r="A186" s="18" t="s">
        <v>716</v>
      </c>
      <c r="B186" s="18" t="s">
        <v>22</v>
      </c>
      <c r="C186" s="18" t="s">
        <v>692</v>
      </c>
      <c r="D186" s="18" t="s">
        <v>692</v>
      </c>
      <c r="E186" s="185" t="n">
        <v>7.96125</v>
      </c>
      <c r="F186" s="18" t="n">
        <f aca="false">E186/$B$2*$F$3/1000</f>
        <v>0.0195050625</v>
      </c>
      <c r="G186" s="18" t="n">
        <f aca="false">LOOKUP(RIGHT(D186,5),Ref!$C$4:$C$21,Ref!$E$4:$E$21)*$G$3</f>
        <v>2.5</v>
      </c>
      <c r="H186" s="222" t="n">
        <f aca="false">$E186</f>
        <v>7.96125</v>
      </c>
      <c r="I186" s="185" t="n">
        <f aca="false">$E186</f>
        <v>7.96125</v>
      </c>
      <c r="J186" s="185" t="n">
        <f aca="false">$E186</f>
        <v>7.96125</v>
      </c>
      <c r="K186" s="185" t="n">
        <f aca="false">$E186</f>
        <v>7.96125</v>
      </c>
      <c r="L186" s="185" t="n">
        <f aca="false">$E186</f>
        <v>7.96125</v>
      </c>
      <c r="M186" s="185" t="n">
        <f aca="false">M$3*$E186</f>
        <v>8.3388192328349</v>
      </c>
      <c r="N186" s="185" t="n">
        <f aca="false">N$3*$E186</f>
        <v>8.56517593569413</v>
      </c>
      <c r="O186" s="185" t="n">
        <f aca="false">O$3*$E186</f>
        <v>8.91025426294858</v>
      </c>
      <c r="P186" s="185" t="n">
        <f aca="false">P$3*$E186</f>
        <v>9.41358520140335</v>
      </c>
      <c r="Q186" s="185" t="n">
        <f aca="false">Q$3*$E186</f>
        <v>10.1023598908819</v>
      </c>
      <c r="R186" s="185" t="n">
        <f aca="false">R$3*$E186</f>
        <v>10.9669456494692</v>
      </c>
      <c r="S186" s="185" t="n">
        <f aca="false">S$3*$E186</f>
        <v>11.941875</v>
      </c>
      <c r="T186" s="185" t="n">
        <f aca="false">T$3*$E186</f>
        <v>12.9168043505308</v>
      </c>
      <c r="U186" s="185" t="n">
        <f aca="false">U$3*$E186</f>
        <v>13.7813901091181</v>
      </c>
      <c r="V186" s="185" t="n">
        <f aca="false">V$3*$E186</f>
        <v>14.4701647985966</v>
      </c>
      <c r="W186" s="185" t="n">
        <f aca="false">W$3*$E186</f>
        <v>14.9734957370514</v>
      </c>
      <c r="X186" s="185" t="n">
        <f aca="false">X$3*$E186</f>
        <v>15.3185740643059</v>
      </c>
      <c r="Y186" s="185" t="n">
        <f aca="false">Y$3*$E186</f>
        <v>15.5449307671651</v>
      </c>
      <c r="Z186" s="185" t="n">
        <f aca="false">Z$3*$E186</f>
        <v>15.6891380029308</v>
      </c>
      <c r="AA186" s="185" t="n">
        <f aca="false">AA$3*$E186</f>
        <v>15.7793072859393</v>
      </c>
      <c r="AB186" s="185" t="n">
        <f aca="false">AB$3*$E186</f>
        <v>15.8350302029822</v>
      </c>
      <c r="AC186" s="185" t="n">
        <f aca="false">AC$3*$E186</f>
        <v>15.869216540579</v>
      </c>
      <c r="AD186" s="219" t="n">
        <f aca="false">Algae_electricity_factor/H186</f>
        <v>0.00172631145907103</v>
      </c>
      <c r="AE186" s="220" t="n">
        <f aca="false">Algae_electricity_factor/I186</f>
        <v>0.00172631145907103</v>
      </c>
      <c r="AF186" s="220" t="n">
        <f aca="false">Algae_electricity_factor/J186</f>
        <v>0.00172631145907103</v>
      </c>
      <c r="AG186" s="220" t="n">
        <f aca="false">Algae_electricity_factor/K186</f>
        <v>0.00172631145907103</v>
      </c>
      <c r="AH186" s="220" t="n">
        <f aca="false">Algae_electricity_factor/L186</f>
        <v>0.00172631145907103</v>
      </c>
      <c r="AI186" s="220" t="n">
        <f aca="false">Algae_electricity_factor/M186</f>
        <v>0.00164814666438775</v>
      </c>
      <c r="AJ186" s="220" t="n">
        <f aca="false">Algae_electricity_factor/N186</f>
        <v>0.00160459016915868</v>
      </c>
      <c r="AK186" s="220" t="n">
        <f aca="false">Algae_electricity_factor/O186</f>
        <v>0.00154244724089178</v>
      </c>
      <c r="AL186" s="220" t="n">
        <f aca="false">Algae_electricity_factor/P186</f>
        <v>0.00145997479275807</v>
      </c>
      <c r="AM186" s="220" t="n">
        <f aca="false">Algae_electricity_factor/Q186</f>
        <v>0.00136043431950329</v>
      </c>
      <c r="AN186" s="220" t="n">
        <f aca="false">Algae_electricity_factor/R186</f>
        <v>0.00125318366141392</v>
      </c>
      <c r="AO186" s="220" t="n">
        <f aca="false">Algae_electricity_factor/S186</f>
        <v>0.00115087430604736</v>
      </c>
      <c r="AP186" s="220" t="n">
        <f aca="false">Algae_electricity_factor/T186</f>
        <v>0.00106400907922435</v>
      </c>
      <c r="AQ186" s="220" t="n">
        <f aca="false">Algae_electricity_factor/U186</f>
        <v>0.000997257678268329</v>
      </c>
      <c r="AR186" s="220" t="n">
        <f aca="false">Algae_electricity_factor/V186</f>
        <v>0.000949788568051564</v>
      </c>
      <c r="AS186" s="220" t="n">
        <f aca="false">Algae_electricity_factor/W186</f>
        <v>0.000917861623289556</v>
      </c>
      <c r="AT186" s="220" t="n">
        <f aca="false">Algae_electricity_factor/X186</f>
        <v>0.000897185145682293</v>
      </c>
      <c r="AU186" s="220" t="n">
        <f aca="false">Algae_electricity_factor/Y186</f>
        <v>0.000884120830731474</v>
      </c>
      <c r="AV186" s="220" t="n">
        <f aca="false">Algae_electricity_factor/Z186</f>
        <v>0.000875994404597749</v>
      </c>
      <c r="AW186" s="220" t="n">
        <f aca="false">Algae_electricity_factor/AA186</f>
        <v>0.000870988621647287</v>
      </c>
      <c r="AX186" s="220" t="n">
        <f aca="false">Algae_electricity_factor/AB186</f>
        <v>0.000867923643173156</v>
      </c>
      <c r="AY186" s="220" t="n">
        <f aca="false">Algae_electricity_factor/AC186</f>
        <v>0.000866053914406274</v>
      </c>
      <c r="AZ186" s="211" t="n">
        <f aca="false">Algae_yield_cost_factor/H186</f>
        <v>0.0955682360541646</v>
      </c>
      <c r="BA186" s="18" t="n">
        <f aca="false">Algae_yield_cost_factor/I186</f>
        <v>0.0955682360541646</v>
      </c>
      <c r="BB186" s="18" t="n">
        <f aca="false">Algae_yield_cost_factor/J186</f>
        <v>0.0955682360541646</v>
      </c>
      <c r="BC186" s="18" t="n">
        <f aca="false">Algae_yield_cost_factor/K186</f>
        <v>0.0955682360541646</v>
      </c>
      <c r="BD186" s="18" t="n">
        <f aca="false">Algae_yield_cost_factor/L186</f>
        <v>0.0955682360541646</v>
      </c>
      <c r="BE186" s="18" t="n">
        <f aca="false">Algae_yield_cost_factor/M186</f>
        <v>0.0912410496069188</v>
      </c>
      <c r="BF186" s="18" t="n">
        <f aca="false">Algae_yield_cost_factor/N186</f>
        <v>0.0888297712736427</v>
      </c>
      <c r="BG186" s="18" t="n">
        <f aca="false">Algae_yield_cost_factor/O186</f>
        <v>0.0853895519513985</v>
      </c>
      <c r="BH186" s="18" t="n">
        <f aca="false">Algae_yield_cost_factor/P186</f>
        <v>0.0808238947232127</v>
      </c>
      <c r="BI186" s="18" t="n">
        <f aca="false">Algae_yield_cost_factor/Q186</f>
        <v>0.0753133552461276</v>
      </c>
      <c r="BJ186" s="18" t="n">
        <f aca="false">Algae_yield_cost_factor/R186</f>
        <v>0.0693759815726852</v>
      </c>
      <c r="BK186" s="18" t="n">
        <f aca="false">Algae_yield_cost_factor/S186</f>
        <v>0.0637121573694431</v>
      </c>
      <c r="BL186" s="18" t="n">
        <f aca="false">Algae_yield_cost_factor/T186</f>
        <v>0.0589033168451571</v>
      </c>
      <c r="BM186" s="18" t="n">
        <f aca="false">Algae_yield_cost_factor/U186</f>
        <v>0.0552079734527524</v>
      </c>
      <c r="BN186" s="18" t="n">
        <f aca="false">Algae_yield_cost_factor/V186</f>
        <v>0.0525800935840072</v>
      </c>
      <c r="BO186" s="18" t="n">
        <f aca="false">Algae_yield_cost_factor/W186</f>
        <v>0.0508126246968193</v>
      </c>
      <c r="BP186" s="18" t="n">
        <f aca="false">Algae_yield_cost_factor/X186</f>
        <v>0.0496679792839905</v>
      </c>
      <c r="BQ186" s="18" t="n">
        <f aca="false">Algae_yield_cost_factor/Y186</f>
        <v>0.0489447415805359</v>
      </c>
      <c r="BR186" s="18" t="n">
        <f aca="false">Algae_yield_cost_factor/Z186</f>
        <v>0.0484948643541851</v>
      </c>
      <c r="BS186" s="18" t="n">
        <f aca="false">Algae_yield_cost_factor/AA186</f>
        <v>0.0482177452722651</v>
      </c>
      <c r="BT186" s="18" t="n">
        <f aca="false">Algae_yield_cost_factor/AB186</f>
        <v>0.0480480687143198</v>
      </c>
      <c r="BU186" s="18" t="n">
        <f aca="false">Algae_yield_cost_factor/AC186</f>
        <v>0.0479445609265381</v>
      </c>
    </row>
    <row r="187" customFormat="false" ht="15" hidden="false" customHeight="false" outlineLevel="0" collapsed="false">
      <c r="A187" s="18" t="s">
        <v>716</v>
      </c>
      <c r="B187" s="18" t="s">
        <v>22</v>
      </c>
      <c r="C187" s="18" t="s">
        <v>693</v>
      </c>
      <c r="D187" s="18" t="s">
        <v>693</v>
      </c>
      <c r="E187" s="185" t="n">
        <v>8.09325</v>
      </c>
      <c r="F187" s="18" t="n">
        <f aca="false">E187/$B$2*$F$3/1000</f>
        <v>0.0198284625</v>
      </c>
      <c r="G187" s="18" t="n">
        <f aca="false">LOOKUP(RIGHT(D187,5),Ref!$C$4:$C$21,Ref!$E$4:$E$21)*$G$3</f>
        <v>3</v>
      </c>
      <c r="H187" s="222" t="n">
        <f aca="false">$E187</f>
        <v>8.09325</v>
      </c>
      <c r="I187" s="185" t="n">
        <f aca="false">$E187</f>
        <v>8.09325</v>
      </c>
      <c r="J187" s="185" t="n">
        <f aca="false">$E187</f>
        <v>8.09325</v>
      </c>
      <c r="K187" s="185" t="n">
        <f aca="false">$E187</f>
        <v>8.09325</v>
      </c>
      <c r="L187" s="185" t="n">
        <f aca="false">$E187</f>
        <v>8.09325</v>
      </c>
      <c r="M187" s="185" t="n">
        <f aca="false">M$3*$E187</f>
        <v>8.47707944809434</v>
      </c>
      <c r="N187" s="185" t="n">
        <f aca="false">N$3*$E187</f>
        <v>8.70718921545693</v>
      </c>
      <c r="O187" s="185" t="n">
        <f aca="false">O$3*$E187</f>
        <v>9.0579890486555</v>
      </c>
      <c r="P187" s="185" t="n">
        <f aca="false">P$3*$E187</f>
        <v>9.56966537054579</v>
      </c>
      <c r="Q187" s="185" t="n">
        <f aca="false">Q$3*$E187</f>
        <v>10.2698601585027</v>
      </c>
      <c r="R187" s="185" t="n">
        <f aca="false">R$3*$E187</f>
        <v>11.1487810177506</v>
      </c>
      <c r="S187" s="185" t="n">
        <f aca="false">S$3*$E187</f>
        <v>12.139875</v>
      </c>
      <c r="T187" s="185" t="n">
        <f aca="false">T$3*$E187</f>
        <v>13.1309689822494</v>
      </c>
      <c r="U187" s="185" t="n">
        <f aca="false">U$3*$E187</f>
        <v>14.0098898414973</v>
      </c>
      <c r="V187" s="185" t="n">
        <f aca="false">V$3*$E187</f>
        <v>14.7100846294542</v>
      </c>
      <c r="W187" s="185" t="n">
        <f aca="false">W$3*$E187</f>
        <v>15.2217609513445</v>
      </c>
      <c r="X187" s="185" t="n">
        <f aca="false">X$3*$E187</f>
        <v>15.5725607845431</v>
      </c>
      <c r="Y187" s="185" t="n">
        <f aca="false">Y$3*$E187</f>
        <v>15.8026705519057</v>
      </c>
      <c r="Z187" s="185" t="n">
        <f aca="false">Z$3*$E187</f>
        <v>15.9492687884716</v>
      </c>
      <c r="AA187" s="185" t="n">
        <f aca="false">AA$3*$E187</f>
        <v>16.0409331062243</v>
      </c>
      <c r="AB187" s="185" t="n">
        <f aca="false">AB$3*$E187</f>
        <v>16.097579926555</v>
      </c>
      <c r="AC187" s="185" t="n">
        <f aca="false">AC$3*$E187</f>
        <v>16.132333084257</v>
      </c>
      <c r="AD187" s="219" t="n">
        <f aca="false">Algae_electricity_factor/H187</f>
        <v>0.00169815551274572</v>
      </c>
      <c r="AE187" s="220" t="n">
        <f aca="false">Algae_electricity_factor/I187</f>
        <v>0.00169815551274572</v>
      </c>
      <c r="AF187" s="220" t="n">
        <f aca="false">Algae_electricity_factor/J187</f>
        <v>0.00169815551274572</v>
      </c>
      <c r="AG187" s="220" t="n">
        <f aca="false">Algae_electricity_factor/K187</f>
        <v>0.00169815551274572</v>
      </c>
      <c r="AH187" s="220" t="n">
        <f aca="false">Algae_electricity_factor/L187</f>
        <v>0.00169815551274572</v>
      </c>
      <c r="AI187" s="220" t="n">
        <f aca="false">Algae_electricity_factor/M187</f>
        <v>0.00162126557709906</v>
      </c>
      <c r="AJ187" s="220" t="n">
        <f aca="false">Algae_electricity_factor/N187</f>
        <v>0.00157841948342316</v>
      </c>
      <c r="AK187" s="220" t="n">
        <f aca="false">Algae_electricity_factor/O187</f>
        <v>0.00151729009934818</v>
      </c>
      <c r="AL187" s="220" t="n">
        <f aca="false">Algae_electricity_factor/P187</f>
        <v>0.00143616276759586</v>
      </c>
      <c r="AM187" s="220" t="n">
        <f aca="false">Algae_electricity_factor/Q187</f>
        <v>0.00133824578829835</v>
      </c>
      <c r="AN187" s="220" t="n">
        <f aca="false">Algae_electricity_factor/R187</f>
        <v>0.00123274437641634</v>
      </c>
      <c r="AO187" s="220" t="n">
        <f aca="false">Algae_electricity_factor/S187</f>
        <v>0.00113210367516381</v>
      </c>
      <c r="AP187" s="220" t="n">
        <f aca="false">Algae_electricity_factor/T187</f>
        <v>0.00104665521045004</v>
      </c>
      <c r="AQ187" s="220" t="n">
        <f aca="false">Algae_electricity_factor/U187</f>
        <v>0.000980992517358754</v>
      </c>
      <c r="AR187" s="220" t="n">
        <f aca="false">Algae_electricity_factor/V187</f>
        <v>0.00093429762300689</v>
      </c>
      <c r="AS187" s="220" t="n">
        <f aca="false">Algae_electricity_factor/W187</f>
        <v>0.000902891403133967</v>
      </c>
      <c r="AT187" s="220" t="n">
        <f aca="false">Algae_electricity_factor/X187</f>
        <v>0.000882552156558015</v>
      </c>
      <c r="AU187" s="220" t="n">
        <f aca="false">Algae_electricity_factor/Y187</f>
        <v>0.000869700919119136</v>
      </c>
      <c r="AV187" s="220" t="n">
        <f aca="false">Algae_electricity_factor/Z187</f>
        <v>0.000861707034084433</v>
      </c>
      <c r="AW187" s="220" t="n">
        <f aca="false">Algae_electricity_factor/AA187</f>
        <v>0.000856782894892591</v>
      </c>
      <c r="AX187" s="220" t="n">
        <f aca="false">Algae_electricity_factor/AB187</f>
        <v>0.000853767905873696</v>
      </c>
      <c r="AY187" s="220" t="n">
        <f aca="false">Algae_electricity_factor/AC187</f>
        <v>0.000851928672173348</v>
      </c>
      <c r="AZ187" s="211" t="n">
        <f aca="false">Algae_yield_cost_factor/H187</f>
        <v>0.0940095288402333</v>
      </c>
      <c r="BA187" s="18" t="n">
        <f aca="false">Algae_yield_cost_factor/I187</f>
        <v>0.0940095288402333</v>
      </c>
      <c r="BB187" s="18" t="n">
        <f aca="false">Algae_yield_cost_factor/J187</f>
        <v>0.0940095288402333</v>
      </c>
      <c r="BC187" s="18" t="n">
        <f aca="false">Algae_yield_cost_factor/K187</f>
        <v>0.0940095288402333</v>
      </c>
      <c r="BD187" s="18" t="n">
        <f aca="false">Algae_yield_cost_factor/L187</f>
        <v>0.0940095288402333</v>
      </c>
      <c r="BE187" s="18" t="n">
        <f aca="false">Algae_yield_cost_factor/M187</f>
        <v>0.0897529183187325</v>
      </c>
      <c r="BF187" s="18" t="n">
        <f aca="false">Algae_yield_cost_factor/N187</f>
        <v>0.0873809676646944</v>
      </c>
      <c r="BG187" s="18" t="n">
        <f aca="false">Algae_yield_cost_factor/O187</f>
        <v>0.0839968579338425</v>
      </c>
      <c r="BH187" s="18" t="n">
        <f aca="false">Algae_yield_cost_factor/P187</f>
        <v>0.0795056660630992</v>
      </c>
      <c r="BI187" s="18" t="n">
        <f aca="false">Algae_yield_cost_factor/Q187</f>
        <v>0.0740850028669859</v>
      </c>
      <c r="BJ187" s="18" t="n">
        <f aca="false">Algae_yield_cost_factor/R187</f>
        <v>0.0682444670923968</v>
      </c>
      <c r="BK187" s="18" t="n">
        <f aca="false">Algae_yield_cost_factor/S187</f>
        <v>0.0626730192268222</v>
      </c>
      <c r="BL187" s="18" t="n">
        <f aca="false">Algae_yield_cost_factor/T187</f>
        <v>0.0579426103522698</v>
      </c>
      <c r="BM187" s="18" t="n">
        <f aca="false">Algae_yield_cost_factor/U187</f>
        <v>0.0543075375962345</v>
      </c>
      <c r="BN187" s="18" t="n">
        <f aca="false">Algae_yield_cost_factor/V187</f>
        <v>0.0517225181534831</v>
      </c>
      <c r="BO187" s="18" t="n">
        <f aca="false">Algae_yield_cost_factor/W187</f>
        <v>0.0499838764856582</v>
      </c>
      <c r="BP187" s="18" t="n">
        <f aca="false">Algae_yield_cost_factor/X187</f>
        <v>0.0488579001111629</v>
      </c>
      <c r="BQ187" s="18" t="n">
        <f aca="false">Algae_yield_cost_factor/Y187</f>
        <v>0.0481464583335547</v>
      </c>
      <c r="BR187" s="18" t="n">
        <f aca="false">Algae_yield_cost_factor/Z187</f>
        <v>0.0477039185543207</v>
      </c>
      <c r="BS187" s="18" t="n">
        <f aca="false">Algae_yield_cost_factor/AA187</f>
        <v>0.0474313192535533</v>
      </c>
      <c r="BT187" s="18" t="n">
        <f aca="false">Algae_yield_cost_factor/AB187</f>
        <v>0.0472644101012422</v>
      </c>
      <c r="BU187" s="18" t="n">
        <f aca="false">Algae_yield_cost_factor/AC187</f>
        <v>0.0471625905138728</v>
      </c>
    </row>
    <row r="188" customFormat="false" ht="15" hidden="false" customHeight="false" outlineLevel="0" collapsed="false">
      <c r="A188" s="18" t="s">
        <v>716</v>
      </c>
      <c r="B188" s="18" t="s">
        <v>22</v>
      </c>
      <c r="C188" s="18" t="s">
        <v>694</v>
      </c>
      <c r="D188" s="18" t="s">
        <v>694</v>
      </c>
      <c r="E188" s="185" t="n">
        <v>9.0585</v>
      </c>
      <c r="F188" s="18" t="n">
        <f aca="false">E188/$B$2*$F$3/1000</f>
        <v>0.022193325</v>
      </c>
      <c r="G188" s="18" t="n">
        <f aca="false">LOOKUP(RIGHT(D188,5),Ref!$C$4:$C$21,Ref!$E$4:$E$21)*$G$3</f>
        <v>3</v>
      </c>
      <c r="H188" s="222" t="n">
        <f aca="false">$E188</f>
        <v>9.0585</v>
      </c>
      <c r="I188" s="185" t="n">
        <f aca="false">$E188</f>
        <v>9.0585</v>
      </c>
      <c r="J188" s="185" t="n">
        <f aca="false">$E188</f>
        <v>9.0585</v>
      </c>
      <c r="K188" s="185" t="n">
        <f aca="false">$E188</f>
        <v>9.0585</v>
      </c>
      <c r="L188" s="185" t="n">
        <f aca="false">$E188</f>
        <v>9.0585</v>
      </c>
      <c r="M188" s="185" t="n">
        <f aca="false">M$3*$E188</f>
        <v>9.48810727217899</v>
      </c>
      <c r="N188" s="185" t="n">
        <f aca="false">N$3*$E188</f>
        <v>9.74566132372243</v>
      </c>
      <c r="O188" s="185" t="n">
        <f aca="false">O$3*$E188</f>
        <v>10.1382996691374</v>
      </c>
      <c r="P188" s="185" t="n">
        <f aca="false">P$3*$E188</f>
        <v>10.7110016073999</v>
      </c>
      <c r="Q188" s="185" t="n">
        <f aca="false">Q$3*$E188</f>
        <v>11.4947058654801</v>
      </c>
      <c r="R188" s="185" t="n">
        <f aca="false">R$3*$E188</f>
        <v>12.478452148308</v>
      </c>
      <c r="S188" s="185" t="n">
        <f aca="false">S$3*$E188</f>
        <v>13.58775</v>
      </c>
      <c r="T188" s="185" t="n">
        <f aca="false">T$3*$E188</f>
        <v>14.697047851692</v>
      </c>
      <c r="U188" s="185" t="n">
        <f aca="false">U$3*$E188</f>
        <v>15.6807941345199</v>
      </c>
      <c r="V188" s="185" t="n">
        <f aca="false">V$3*$E188</f>
        <v>16.4644983926001</v>
      </c>
      <c r="W188" s="185" t="n">
        <f aca="false">W$3*$E188</f>
        <v>17.0372003308626</v>
      </c>
      <c r="X188" s="185" t="n">
        <f aca="false">X$3*$E188</f>
        <v>17.4298386762776</v>
      </c>
      <c r="Y188" s="185" t="n">
        <f aca="false">Y$3*$E188</f>
        <v>17.687392727821</v>
      </c>
      <c r="Z188" s="185" t="n">
        <f aca="false">Z$3*$E188</f>
        <v>17.8514751577388</v>
      </c>
      <c r="AA188" s="185" t="n">
        <f aca="false">AA$3*$E188</f>
        <v>17.9540719170584</v>
      </c>
      <c r="AB188" s="185" t="n">
        <f aca="false">AB$3*$E188</f>
        <v>18.0174747801808</v>
      </c>
      <c r="AC188" s="185" t="n">
        <f aca="false">AC$3*$E188</f>
        <v>18.0563728099024</v>
      </c>
      <c r="AD188" s="219" t="n">
        <f aca="false">Algae_electricity_factor/H188</f>
        <v>0.00151720451548593</v>
      </c>
      <c r="AE188" s="220" t="n">
        <f aca="false">Algae_electricity_factor/I188</f>
        <v>0.00151720451548593</v>
      </c>
      <c r="AF188" s="220" t="n">
        <f aca="false">Algae_electricity_factor/J188</f>
        <v>0.00151720451548593</v>
      </c>
      <c r="AG188" s="220" t="n">
        <f aca="false">Algae_electricity_factor/K188</f>
        <v>0.00151720451548593</v>
      </c>
      <c r="AH188" s="220" t="n">
        <f aca="false">Algae_electricity_factor/L188</f>
        <v>0.00151720451548593</v>
      </c>
      <c r="AI188" s="220" t="n">
        <f aca="false">Algae_electricity_factor/M188</f>
        <v>0.00144850776970326</v>
      </c>
      <c r="AJ188" s="220" t="n">
        <f aca="false">Algae_electricity_factor/N188</f>
        <v>0.00141022724338627</v>
      </c>
      <c r="AK188" s="220" t="n">
        <f aca="false">Algae_electricity_factor/O188</f>
        <v>0.00135561164613895</v>
      </c>
      <c r="AL188" s="220" t="n">
        <f aca="false">Algae_electricity_factor/P188</f>
        <v>0.00128312903006515</v>
      </c>
      <c r="AM188" s="220" t="n">
        <f aca="false">Algae_electricity_factor/Q188</f>
        <v>0.00119564582725016</v>
      </c>
      <c r="AN188" s="220" t="n">
        <f aca="false">Algae_electricity_factor/R188</f>
        <v>0.00110138636909329</v>
      </c>
      <c r="AO188" s="220" t="n">
        <f aca="false">Algae_electricity_factor/S188</f>
        <v>0.00101146967699062</v>
      </c>
      <c r="AP188" s="220" t="n">
        <f aca="false">Algae_electricity_factor/T188</f>
        <v>0.00093512637654963</v>
      </c>
      <c r="AQ188" s="220" t="n">
        <f aca="false">Algae_electricity_factor/U188</f>
        <v>0.000876460527804133</v>
      </c>
      <c r="AR188" s="220" t="n">
        <f aca="false">Algae_electricity_factor/V188</f>
        <v>0.000834741318915992</v>
      </c>
      <c r="AS188" s="220" t="n">
        <f aca="false">Algae_electricity_factor/W188</f>
        <v>0.000806681663455757</v>
      </c>
      <c r="AT188" s="220" t="n">
        <f aca="false">Algae_electricity_factor/X188</f>
        <v>0.000788509713646095</v>
      </c>
      <c r="AU188" s="220" t="n">
        <f aca="false">Algae_electricity_factor/Y188</f>
        <v>0.00077702787036054</v>
      </c>
      <c r="AV188" s="220" t="n">
        <f aca="false">Algae_electricity_factor/Z188</f>
        <v>0.000769885792747567</v>
      </c>
      <c r="AW188" s="220" t="n">
        <f aca="false">Algae_electricity_factor/AA188</f>
        <v>0.000765486356912233</v>
      </c>
      <c r="AX188" s="220" t="n">
        <f aca="false">Algae_electricity_factor/AB188</f>
        <v>0.000762792637215023</v>
      </c>
      <c r="AY188" s="220" t="n">
        <f aca="false">Algae_electricity_factor/AC188</f>
        <v>0.000761149387433565</v>
      </c>
      <c r="AZ188" s="211" t="n">
        <f aca="false">Algae_yield_cost_factor/H188</f>
        <v>0.0839921200293887</v>
      </c>
      <c r="BA188" s="18" t="n">
        <f aca="false">Algae_yield_cost_factor/I188</f>
        <v>0.0839921200293887</v>
      </c>
      <c r="BB188" s="18" t="n">
        <f aca="false">Algae_yield_cost_factor/J188</f>
        <v>0.0839921200293887</v>
      </c>
      <c r="BC188" s="18" t="n">
        <f aca="false">Algae_yield_cost_factor/K188</f>
        <v>0.0839921200293887</v>
      </c>
      <c r="BD188" s="18" t="n">
        <f aca="false">Algae_yield_cost_factor/L188</f>
        <v>0.0839921200293887</v>
      </c>
      <c r="BE188" s="18" t="n">
        <f aca="false">Algae_yield_cost_factor/M188</f>
        <v>0.0801890827601791</v>
      </c>
      <c r="BF188" s="18" t="n">
        <f aca="false">Algae_yield_cost_factor/N188</f>
        <v>0.0780698809463253</v>
      </c>
      <c r="BG188" s="18" t="n">
        <f aca="false">Algae_yield_cost_factor/O188</f>
        <v>0.0750463730720396</v>
      </c>
      <c r="BH188" s="18" t="n">
        <f aca="false">Algae_yield_cost_factor/P188</f>
        <v>0.0710337508268673</v>
      </c>
      <c r="BI188" s="18" t="n">
        <f aca="false">Algae_yield_cost_factor/Q188</f>
        <v>0.0661906992827989</v>
      </c>
      <c r="BJ188" s="18" t="n">
        <f aca="false">Algae_yield_cost_factor/R188</f>
        <v>0.0609725156809119</v>
      </c>
      <c r="BK188" s="18" t="n">
        <f aca="false">Algae_yield_cost_factor/S188</f>
        <v>0.0559947466862592</v>
      </c>
      <c r="BL188" s="18" t="n">
        <f aca="false">Algae_yield_cost_factor/T188</f>
        <v>0.0517683977737492</v>
      </c>
      <c r="BM188" s="18" t="n">
        <f aca="false">Algae_yield_cost_factor/U188</f>
        <v>0.04852066883598</v>
      </c>
      <c r="BN188" s="18" t="n">
        <f aca="false">Algae_yield_cost_factor/V188</f>
        <v>0.0462111022846693</v>
      </c>
      <c r="BO188" s="18" t="n">
        <f aca="false">Algae_yield_cost_factor/W188</f>
        <v>0.0446577257125962</v>
      </c>
      <c r="BP188" s="18" t="n">
        <f aca="false">Algae_yield_cost_factor/X188</f>
        <v>0.0436517304271865</v>
      </c>
      <c r="BQ188" s="18" t="n">
        <f aca="false">Algae_yield_cost_factor/Y188</f>
        <v>0.0430160980193235</v>
      </c>
      <c r="BR188" s="18" t="n">
        <f aca="false">Algae_yield_cost_factor/Z188</f>
        <v>0.0426207141182046</v>
      </c>
      <c r="BS188" s="18" t="n">
        <f aca="false">Algae_yield_cost_factor/AA188</f>
        <v>0.0423771622839124</v>
      </c>
      <c r="BT188" s="18" t="n">
        <f aca="false">Algae_yield_cost_factor/AB188</f>
        <v>0.0422280385330771</v>
      </c>
      <c r="BU188" s="18" t="n">
        <f aca="false">Algae_yield_cost_factor/AC188</f>
        <v>0.04213706857387</v>
      </c>
    </row>
    <row r="189" customFormat="false" ht="15" hidden="false" customHeight="false" outlineLevel="0" collapsed="false">
      <c r="A189" s="18" t="s">
        <v>716</v>
      </c>
      <c r="B189" s="18" t="s">
        <v>22</v>
      </c>
      <c r="C189" s="18" t="s">
        <v>682</v>
      </c>
      <c r="D189" s="18" t="s">
        <v>682</v>
      </c>
      <c r="E189" s="185" t="n">
        <v>8.30775</v>
      </c>
      <c r="F189" s="18" t="n">
        <f aca="false">E189/$B$2*$F$3/1000</f>
        <v>0.0203539875</v>
      </c>
      <c r="G189" s="18" t="n">
        <f aca="false">LOOKUP(RIGHT(D189,5),Ref!$C$4:$C$21,Ref!$E$4:$E$21)*$G$3</f>
        <v>3</v>
      </c>
      <c r="H189" s="222" t="n">
        <f aca="false">$E189</f>
        <v>8.30775</v>
      </c>
      <c r="I189" s="185" t="n">
        <f aca="false">$E189</f>
        <v>8.30775</v>
      </c>
      <c r="J189" s="185" t="n">
        <f aca="false">$E189</f>
        <v>8.30775</v>
      </c>
      <c r="K189" s="185" t="n">
        <f aca="false">$E189</f>
        <v>8.30775</v>
      </c>
      <c r="L189" s="185" t="n">
        <f aca="false">$E189</f>
        <v>8.30775</v>
      </c>
      <c r="M189" s="185" t="n">
        <f aca="false">M$3*$E189</f>
        <v>8.70175229789093</v>
      </c>
      <c r="N189" s="185" t="n">
        <f aca="false">N$3*$E189</f>
        <v>8.93796079507148</v>
      </c>
      <c r="O189" s="185" t="n">
        <f aca="false">O$3*$E189</f>
        <v>9.29805807542925</v>
      </c>
      <c r="P189" s="185" t="n">
        <f aca="false">P$3*$E189</f>
        <v>9.82329564540226</v>
      </c>
      <c r="Q189" s="185" t="n">
        <f aca="false">Q$3*$E189</f>
        <v>10.5420480933866</v>
      </c>
      <c r="R189" s="185" t="n">
        <f aca="false">R$3*$E189</f>
        <v>11.4442634912078</v>
      </c>
      <c r="S189" s="185" t="n">
        <f aca="false">S$3*$E189</f>
        <v>12.461625</v>
      </c>
      <c r="T189" s="185" t="n">
        <f aca="false">T$3*$E189</f>
        <v>13.4789865087922</v>
      </c>
      <c r="U189" s="185" t="n">
        <f aca="false">U$3*$E189</f>
        <v>14.3812019066134</v>
      </c>
      <c r="V189" s="185" t="n">
        <f aca="false">V$3*$E189</f>
        <v>15.0999543545977</v>
      </c>
      <c r="W189" s="185" t="n">
        <f aca="false">W$3*$E189</f>
        <v>15.6251919245707</v>
      </c>
      <c r="X189" s="185" t="n">
        <f aca="false">X$3*$E189</f>
        <v>15.9852892049285</v>
      </c>
      <c r="Y189" s="185" t="n">
        <f aca="false">Y$3*$E189</f>
        <v>16.2214977021091</v>
      </c>
      <c r="Z189" s="185" t="n">
        <f aca="false">Z$3*$E189</f>
        <v>16.3719813149754</v>
      </c>
      <c r="AA189" s="185" t="n">
        <f aca="false">AA$3*$E189</f>
        <v>16.4660750641874</v>
      </c>
      <c r="AB189" s="185" t="n">
        <f aca="false">AB$3*$E189</f>
        <v>16.5242232273607</v>
      </c>
      <c r="AC189" s="185" t="n">
        <f aca="false">AC$3*$E189</f>
        <v>16.5598974677338</v>
      </c>
      <c r="AD189" s="219" t="n">
        <f aca="false">Algae_electricity_factor/H189</f>
        <v>0.0016543103853064</v>
      </c>
      <c r="AE189" s="220" t="n">
        <f aca="false">Algae_electricity_factor/I189</f>
        <v>0.0016543103853064</v>
      </c>
      <c r="AF189" s="220" t="n">
        <f aca="false">Algae_electricity_factor/J189</f>
        <v>0.0016543103853064</v>
      </c>
      <c r="AG189" s="220" t="n">
        <f aca="false">Algae_electricity_factor/K189</f>
        <v>0.0016543103853064</v>
      </c>
      <c r="AH189" s="220" t="n">
        <f aca="false">Algae_electricity_factor/L189</f>
        <v>0.0016543103853064</v>
      </c>
      <c r="AI189" s="220" t="n">
        <f aca="false">Algae_electricity_factor/M189</f>
        <v>0.00157940569129511</v>
      </c>
      <c r="AJ189" s="220" t="n">
        <f aca="false">Algae_electricity_factor/N189</f>
        <v>0.00153766585227222</v>
      </c>
      <c r="AK189" s="220" t="n">
        <f aca="false">Algae_electricity_factor/O189</f>
        <v>0.00147811478397276</v>
      </c>
      <c r="AL189" s="220" t="n">
        <f aca="false">Algae_electricity_factor/P189</f>
        <v>0.00139908210030937</v>
      </c>
      <c r="AM189" s="220" t="n">
        <f aca="false">Algae_electricity_factor/Q189</f>
        <v>0.00130369326546244</v>
      </c>
      <c r="AN189" s="220" t="n">
        <f aca="false">Algae_electricity_factor/R189</f>
        <v>0.00120091582250688</v>
      </c>
      <c r="AO189" s="220" t="n">
        <f aca="false">Algae_electricity_factor/S189</f>
        <v>0.00110287359020427</v>
      </c>
      <c r="AP189" s="220" t="n">
        <f aca="false">Algae_electricity_factor/T189</f>
        <v>0.00101963134205709</v>
      </c>
      <c r="AQ189" s="220" t="n">
        <f aca="false">Algae_electricity_factor/U189</f>
        <v>0.000955664011448796</v>
      </c>
      <c r="AR189" s="220" t="n">
        <f aca="false">Algae_electricity_factor/V189</f>
        <v>0.000910174744955074</v>
      </c>
      <c r="AS189" s="220" t="n">
        <f aca="false">Algae_electricity_factor/W189</f>
        <v>0.00087957941060022</v>
      </c>
      <c r="AT189" s="220" t="n">
        <f aca="false">Algae_electricity_factor/X189</f>
        <v>0.000859765308424442</v>
      </c>
      <c r="AU189" s="220" t="n">
        <f aca="false">Algae_electricity_factor/Y189</f>
        <v>0.000847245880492426</v>
      </c>
      <c r="AV189" s="220" t="n">
        <f aca="false">Algae_electricity_factor/Z189</f>
        <v>0.000839458391694964</v>
      </c>
      <c r="AW189" s="220" t="n">
        <f aca="false">Algae_electricity_factor/AA189</f>
        <v>0.000834661390158522</v>
      </c>
      <c r="AX189" s="220" t="n">
        <f aca="false">Algae_electricity_factor/AB189</f>
        <v>0.000831724245940512</v>
      </c>
      <c r="AY189" s="220" t="n">
        <f aca="false">Algae_electricity_factor/AC189</f>
        <v>0.000829932499902735</v>
      </c>
      <c r="AZ189" s="211" t="n">
        <f aca="false">Algae_yield_cost_factor/H189</f>
        <v>0.0915822718890455</v>
      </c>
      <c r="BA189" s="18" t="n">
        <f aca="false">Algae_yield_cost_factor/I189</f>
        <v>0.0915822718890455</v>
      </c>
      <c r="BB189" s="18" t="n">
        <f aca="false">Algae_yield_cost_factor/J189</f>
        <v>0.0915822718890455</v>
      </c>
      <c r="BC189" s="18" t="n">
        <f aca="false">Algae_yield_cost_factor/K189</f>
        <v>0.0915822718890455</v>
      </c>
      <c r="BD189" s="18" t="n">
        <f aca="false">Algae_yield_cost_factor/L189</f>
        <v>0.0915822718890455</v>
      </c>
      <c r="BE189" s="18" t="n">
        <f aca="false">Algae_yield_cost_factor/M189</f>
        <v>0.0874355639232141</v>
      </c>
      <c r="BF189" s="18" t="n">
        <f aca="false">Algae_yield_cost_factor/N189</f>
        <v>0.0851248552920211</v>
      </c>
      <c r="BG189" s="18" t="n">
        <f aca="false">Algae_yield_cost_factor/O189</f>
        <v>0.0818281207875864</v>
      </c>
      <c r="BH189" s="18" t="n">
        <f aca="false">Algae_yield_cost_factor/P189</f>
        <v>0.0774528881905663</v>
      </c>
      <c r="BI189" s="18" t="n">
        <f aca="false">Algae_yield_cost_factor/Q189</f>
        <v>0.0721721825347698</v>
      </c>
      <c r="BJ189" s="18" t="n">
        <f aca="false">Algae_yield_cost_factor/R189</f>
        <v>0.0664824451019277</v>
      </c>
      <c r="BK189" s="18" t="n">
        <f aca="false">Algae_yield_cost_factor/S189</f>
        <v>0.0610548479260303</v>
      </c>
      <c r="BL189" s="18" t="n">
        <f aca="false">Algae_yield_cost_factor/T189</f>
        <v>0.0564465747324495</v>
      </c>
      <c r="BM189" s="18" t="n">
        <f aca="false">Algae_yield_cost_factor/U189</f>
        <v>0.05290535688372</v>
      </c>
      <c r="BN189" s="18" t="n">
        <f aca="false">Algae_yield_cost_factor/V189</f>
        <v>0.0503870807433634</v>
      </c>
      <c r="BO189" s="18" t="n">
        <f aca="false">Algae_yield_cost_factor/W189</f>
        <v>0.0486933295257504</v>
      </c>
      <c r="BP189" s="18" t="n">
        <f aca="false">Algae_yield_cost_factor/X189</f>
        <v>0.0475964250338141</v>
      </c>
      <c r="BQ189" s="18" t="n">
        <f aca="false">Algae_yield_cost_factor/Y189</f>
        <v>0.0469033521600965</v>
      </c>
      <c r="BR189" s="18" t="n">
        <f aca="false">Algae_yield_cost_factor/Z189</f>
        <v>0.0464722384327593</v>
      </c>
      <c r="BS189" s="18" t="n">
        <f aca="false">Algae_yield_cost_factor/AA189</f>
        <v>0.0462066774456165</v>
      </c>
      <c r="BT189" s="18" t="n">
        <f aca="false">Algae_yield_cost_factor/AB189</f>
        <v>0.0460440777649639</v>
      </c>
      <c r="BU189" s="18" t="n">
        <f aca="false">Algae_yield_cost_factor/AC189</f>
        <v>0.0459448870845177</v>
      </c>
    </row>
    <row r="190" customFormat="false" ht="15" hidden="false" customHeight="false" outlineLevel="0" collapsed="false">
      <c r="A190" s="18" t="s">
        <v>716</v>
      </c>
      <c r="B190" s="18" t="s">
        <v>22</v>
      </c>
      <c r="C190" s="18" t="s">
        <v>683</v>
      </c>
      <c r="D190" s="18" t="s">
        <v>683</v>
      </c>
      <c r="E190" s="185" t="n">
        <v>7.4745</v>
      </c>
      <c r="F190" s="18" t="n">
        <f aca="false">E190/$B$2*$F$3/1000</f>
        <v>0.018312525</v>
      </c>
      <c r="G190" s="18" t="n">
        <f aca="false">LOOKUP(RIGHT(D190,5),Ref!$C$4:$C$21,Ref!$E$4:$E$21)*$G$3</f>
        <v>3</v>
      </c>
      <c r="H190" s="222" t="n">
        <f aca="false">$E190</f>
        <v>7.4745</v>
      </c>
      <c r="I190" s="185" t="n">
        <f aca="false">$E190</f>
        <v>7.4745</v>
      </c>
      <c r="J190" s="185" t="n">
        <f aca="false">$E190</f>
        <v>7.4745</v>
      </c>
      <c r="K190" s="185" t="n">
        <f aca="false">$E190</f>
        <v>7.4745</v>
      </c>
      <c r="L190" s="185" t="n">
        <f aca="false">$E190</f>
        <v>7.4745</v>
      </c>
      <c r="M190" s="185" t="n">
        <f aca="false">M$3*$E190</f>
        <v>7.82898468906572</v>
      </c>
      <c r="N190" s="185" t="n">
        <f aca="false">N$3*$E190</f>
        <v>8.04150196656878</v>
      </c>
      <c r="O190" s="185" t="n">
        <f aca="false">O$3*$E190</f>
        <v>8.36548224065432</v>
      </c>
      <c r="P190" s="185" t="n">
        <f aca="false">P$3*$E190</f>
        <v>8.83803957769061</v>
      </c>
      <c r="Q190" s="185" t="n">
        <f aca="false">Q$3*$E190</f>
        <v>9.48470265403003</v>
      </c>
      <c r="R190" s="185" t="n">
        <f aca="false">R$3*$E190</f>
        <v>10.2964277289317</v>
      </c>
      <c r="S190" s="185" t="n">
        <f aca="false">S$3*$E190</f>
        <v>11.21175</v>
      </c>
      <c r="T190" s="185" t="n">
        <f aca="false">T$3*$E190</f>
        <v>12.1270722710683</v>
      </c>
      <c r="U190" s="185" t="n">
        <f aca="false">U$3*$E190</f>
        <v>12.93879734597</v>
      </c>
      <c r="V190" s="185" t="n">
        <f aca="false">V$3*$E190</f>
        <v>13.5854604223094</v>
      </c>
      <c r="W190" s="185" t="n">
        <f aca="false">W$3*$E190</f>
        <v>14.0580177593457</v>
      </c>
      <c r="X190" s="185" t="n">
        <f aca="false">X$3*$E190</f>
        <v>14.3819980334312</v>
      </c>
      <c r="Y190" s="185" t="n">
        <f aca="false">Y$3*$E190</f>
        <v>14.5945153109343</v>
      </c>
      <c r="Z190" s="185" t="n">
        <f aca="false">Z$3*$E190</f>
        <v>14.729905731249</v>
      </c>
      <c r="AA190" s="185" t="n">
        <f aca="false">AA$3*$E190</f>
        <v>14.8145620736383</v>
      </c>
      <c r="AB190" s="185" t="n">
        <f aca="false">AB$3*$E190</f>
        <v>14.8668780973076</v>
      </c>
      <c r="AC190" s="185" t="n">
        <f aca="false">AC$3*$E190</f>
        <v>14.8989742857664</v>
      </c>
      <c r="AD190" s="219" t="n">
        <f aca="false">Algae_electricity_factor/H190</f>
        <v>0.00183873130022467</v>
      </c>
      <c r="AE190" s="220" t="n">
        <f aca="false">Algae_electricity_factor/I190</f>
        <v>0.00183873130022467</v>
      </c>
      <c r="AF190" s="220" t="n">
        <f aca="false">Algae_electricity_factor/J190</f>
        <v>0.00183873130022467</v>
      </c>
      <c r="AG190" s="220" t="n">
        <f aca="false">Algae_electricity_factor/K190</f>
        <v>0.00183873130022467</v>
      </c>
      <c r="AH190" s="220" t="n">
        <f aca="false">Algae_electricity_factor/L190</f>
        <v>0.00183873130022467</v>
      </c>
      <c r="AI190" s="220" t="n">
        <f aca="false">Algae_electricity_factor/M190</f>
        <v>0.00175547630368011</v>
      </c>
      <c r="AJ190" s="220" t="n">
        <f aca="false">Algae_electricity_factor/N190</f>
        <v>0.00170908334794495</v>
      </c>
      <c r="AK190" s="220" t="n">
        <f aca="false">Algae_electricity_factor/O190</f>
        <v>0.00164289358439356</v>
      </c>
      <c r="AL190" s="220" t="n">
        <f aca="false">Algae_electricity_factor/P190</f>
        <v>0.00155505041392002</v>
      </c>
      <c r="AM190" s="220" t="n">
        <f aca="false">Algae_electricity_factor/Q190</f>
        <v>0.00144902772441576</v>
      </c>
      <c r="AN190" s="220" t="n">
        <f aca="false">Algae_electricity_factor/R190</f>
        <v>0.00133479275194749</v>
      </c>
      <c r="AO190" s="220" t="n">
        <f aca="false">Algae_electricity_factor/S190</f>
        <v>0.00122582086681644</v>
      </c>
      <c r="AP190" s="220" t="n">
        <f aca="false">Algae_electricity_factor/T190</f>
        <v>0.00113329885369922</v>
      </c>
      <c r="AQ190" s="220" t="n">
        <f aca="false">Algae_electricity_factor/U190</f>
        <v>0.00106220050720633</v>
      </c>
      <c r="AR190" s="220" t="n">
        <f aca="false">Algae_electricity_factor/V190</f>
        <v>0.00101164014146773</v>
      </c>
      <c r="AS190" s="220" t="n">
        <f aca="false">Algae_electricity_factor/W190</f>
        <v>0.000977634068956315</v>
      </c>
      <c r="AT190" s="220" t="n">
        <f aca="false">Algae_electricity_factor/X190</f>
        <v>0.000955611109915466</v>
      </c>
      <c r="AU190" s="220" t="n">
        <f aca="false">Algae_electricity_factor/Y190</f>
        <v>0.00094169602831774</v>
      </c>
      <c r="AV190" s="220" t="n">
        <f aca="false">Algae_electricity_factor/Z190</f>
        <v>0.000933040397833144</v>
      </c>
      <c r="AW190" s="220" t="n">
        <f aca="false">Algae_electricity_factor/AA190</f>
        <v>0.000927708631224759</v>
      </c>
      <c r="AX190" s="220" t="n">
        <f aca="false">Algae_electricity_factor/AB190</f>
        <v>0.00092444405702218</v>
      </c>
      <c r="AY190" s="220" t="n">
        <f aca="false">Algae_electricity_factor/AC190</f>
        <v>0.000922452568876439</v>
      </c>
      <c r="AZ190" s="211" t="n">
        <f aca="false">Algae_yield_cost_factor/H190</f>
        <v>0.101791774605153</v>
      </c>
      <c r="BA190" s="18" t="n">
        <f aca="false">Algae_yield_cost_factor/I190</f>
        <v>0.101791774605153</v>
      </c>
      <c r="BB190" s="18" t="n">
        <f aca="false">Algae_yield_cost_factor/J190</f>
        <v>0.101791774605153</v>
      </c>
      <c r="BC190" s="18" t="n">
        <f aca="false">Algae_yield_cost_factor/K190</f>
        <v>0.101791774605153</v>
      </c>
      <c r="BD190" s="18" t="n">
        <f aca="false">Algae_yield_cost_factor/L190</f>
        <v>0.101791774605153</v>
      </c>
      <c r="BE190" s="18" t="n">
        <f aca="false">Algae_yield_cost_factor/M190</f>
        <v>0.0971827956629985</v>
      </c>
      <c r="BF190" s="18" t="n">
        <f aca="false">Algae_yield_cost_factor/N190</f>
        <v>0.0946144914779969</v>
      </c>
      <c r="BG190" s="18" t="n">
        <f aca="false">Algae_yield_cost_factor/O190</f>
        <v>0.0909502402131341</v>
      </c>
      <c r="BH190" s="18" t="n">
        <f aca="false">Algae_yield_cost_factor/P190</f>
        <v>0.0860872609358723</v>
      </c>
      <c r="BI190" s="18" t="n">
        <f aca="false">Algae_yield_cost_factor/Q190</f>
        <v>0.0802178673427298</v>
      </c>
      <c r="BJ190" s="18" t="n">
        <f aca="false">Algae_yield_cost_factor/R190</f>
        <v>0.0738938435073302</v>
      </c>
      <c r="BK190" s="18" t="n">
        <f aca="false">Algae_yield_cost_factor/S190</f>
        <v>0.0678611830701022</v>
      </c>
      <c r="BL190" s="18" t="n">
        <f aca="false">Algae_yield_cost_factor/T190</f>
        <v>0.0627391840569279</v>
      </c>
      <c r="BM190" s="18" t="n">
        <f aca="false">Algae_yield_cost_factor/U190</f>
        <v>0.0588031946820155</v>
      </c>
      <c r="BN190" s="18" t="n">
        <f aca="false">Algae_yield_cost_factor/V190</f>
        <v>0.0560041835635396</v>
      </c>
      <c r="BO190" s="18" t="n">
        <f aca="false">Algae_yield_cost_factor/W190</f>
        <v>0.0541216146053319</v>
      </c>
      <c r="BP190" s="18" t="n">
        <f aca="false">Algae_yield_cost_factor/X190</f>
        <v>0.0529024282660605</v>
      </c>
      <c r="BQ190" s="18" t="n">
        <f aca="false">Algae_yield_cost_factor/Y190</f>
        <v>0.0521320923015642</v>
      </c>
      <c r="BR190" s="18" t="n">
        <f aca="false">Algae_yield_cost_factor/Z190</f>
        <v>0.0516529184346453</v>
      </c>
      <c r="BS190" s="18" t="n">
        <f aca="false">Algae_yield_cost_factor/AA190</f>
        <v>0.0513577529665958</v>
      </c>
      <c r="BT190" s="18" t="n">
        <f aca="false">Algae_yield_cost_factor/AB190</f>
        <v>0.0511770268314775</v>
      </c>
      <c r="BU190" s="18" t="n">
        <f aca="false">Algae_yield_cost_factor/AC190</f>
        <v>0.0510667784703193</v>
      </c>
    </row>
    <row r="191" customFormat="false" ht="15" hidden="false" customHeight="false" outlineLevel="0" collapsed="false">
      <c r="A191" s="18" t="s">
        <v>716</v>
      </c>
      <c r="B191" s="18" t="s">
        <v>22</v>
      </c>
      <c r="C191" s="18" t="s">
        <v>684</v>
      </c>
      <c r="D191" s="18" t="s">
        <v>684</v>
      </c>
      <c r="E191" s="185" t="n">
        <v>8.53875</v>
      </c>
      <c r="F191" s="18" t="n">
        <f aca="false">E191/$B$2*$F$3/1000</f>
        <v>0.0209199375</v>
      </c>
      <c r="G191" s="18" t="n">
        <f aca="false">LOOKUP(RIGHT(D191,5),Ref!$C$4:$C$21,Ref!$E$4:$E$21)*$G$3</f>
        <v>3.5</v>
      </c>
      <c r="H191" s="222" t="n">
        <f aca="false">$E191</f>
        <v>8.53875</v>
      </c>
      <c r="I191" s="185" t="n">
        <f aca="false">$E191</f>
        <v>8.53875</v>
      </c>
      <c r="J191" s="185" t="n">
        <f aca="false">$E191</f>
        <v>8.53875</v>
      </c>
      <c r="K191" s="185" t="n">
        <f aca="false">$E191</f>
        <v>8.53875</v>
      </c>
      <c r="L191" s="185" t="n">
        <f aca="false">$E191</f>
        <v>8.53875</v>
      </c>
      <c r="M191" s="185" t="n">
        <f aca="false">M$3*$E191</f>
        <v>8.94370767459495</v>
      </c>
      <c r="N191" s="185" t="n">
        <f aca="false">N$3*$E191</f>
        <v>9.18648403465639</v>
      </c>
      <c r="O191" s="185" t="n">
        <f aca="false">O$3*$E191</f>
        <v>9.55659395041636</v>
      </c>
      <c r="P191" s="185" t="n">
        <f aca="false">P$3*$E191</f>
        <v>10.0964359414015</v>
      </c>
      <c r="Q191" s="185" t="n">
        <f aca="false">Q$3*$E191</f>
        <v>10.835173561723</v>
      </c>
      <c r="R191" s="185" t="n">
        <f aca="false">R$3*$E191</f>
        <v>11.7624753857002</v>
      </c>
      <c r="S191" s="185" t="n">
        <f aca="false">S$3*$E191</f>
        <v>12.808125</v>
      </c>
      <c r="T191" s="185" t="n">
        <f aca="false">T$3*$E191</f>
        <v>13.8537746142998</v>
      </c>
      <c r="U191" s="185" t="n">
        <f aca="false">U$3*$E191</f>
        <v>14.781076438277</v>
      </c>
      <c r="V191" s="185" t="n">
        <f aca="false">V$3*$E191</f>
        <v>15.5198140585985</v>
      </c>
      <c r="W191" s="185" t="n">
        <f aca="false">W$3*$E191</f>
        <v>16.0596560495836</v>
      </c>
      <c r="X191" s="185" t="n">
        <f aca="false">X$3*$E191</f>
        <v>16.4297659653436</v>
      </c>
      <c r="Y191" s="185" t="n">
        <f aca="false">Y$3*$E191</f>
        <v>16.6725423254051</v>
      </c>
      <c r="Z191" s="185" t="n">
        <f aca="false">Z$3*$E191</f>
        <v>16.8272101896719</v>
      </c>
      <c r="AA191" s="185" t="n">
        <f aca="false">AA$3*$E191</f>
        <v>16.9239202496862</v>
      </c>
      <c r="AB191" s="185" t="n">
        <f aca="false">AB$3*$E191</f>
        <v>16.983685243613</v>
      </c>
      <c r="AC191" s="185" t="n">
        <f aca="false">AC$3*$E191</f>
        <v>17.0203514191703</v>
      </c>
      <c r="AD191" s="219" t="n">
        <f aca="false">Algae_electricity_factor/H191</f>
        <v>0.00160955609468942</v>
      </c>
      <c r="AE191" s="220" t="n">
        <f aca="false">Algae_electricity_factor/I191</f>
        <v>0.00160955609468942</v>
      </c>
      <c r="AF191" s="220" t="n">
        <f aca="false">Algae_electricity_factor/J191</f>
        <v>0.00160955609468942</v>
      </c>
      <c r="AG191" s="220" t="n">
        <f aca="false">Algae_electricity_factor/K191</f>
        <v>0.00160955609468942</v>
      </c>
      <c r="AH191" s="220" t="n">
        <f aca="false">Algae_electricity_factor/L191</f>
        <v>0.00160955609468942</v>
      </c>
      <c r="AI191" s="220" t="n">
        <f aca="false">Algae_electricity_factor/M191</f>
        <v>0.00153667780785911</v>
      </c>
      <c r="AJ191" s="220" t="n">
        <f aca="false">Algae_electricity_factor/N191</f>
        <v>0.00149606716254891</v>
      </c>
      <c r="AK191" s="220" t="n">
        <f aca="false">Algae_electricity_factor/O191</f>
        <v>0.00143812713764306</v>
      </c>
      <c r="AL191" s="220" t="n">
        <f aca="false">Algae_electricity_factor/P191</f>
        <v>0.00136123253624303</v>
      </c>
      <c r="AM191" s="220" t="n">
        <f aca="false">Algae_electricity_factor/Q191</f>
        <v>0.00126842426890887</v>
      </c>
      <c r="AN191" s="220" t="n">
        <f aca="false">Algae_electricity_factor/R191</f>
        <v>0.00116842727851636</v>
      </c>
      <c r="AO191" s="220" t="n">
        <f aca="false">Algae_electricity_factor/S191</f>
        <v>0.00107303739645961</v>
      </c>
      <c r="AP191" s="220" t="n">
        <f aca="false">Algae_electricity_factor/T191</f>
        <v>0.00099204711251352</v>
      </c>
      <c r="AQ191" s="220" t="n">
        <f aca="false">Algae_electricity_factor/U191</f>
        <v>0.000929810299061776</v>
      </c>
      <c r="AR191" s="220" t="n">
        <f aca="false">Algae_electricity_factor/V191</f>
        <v>0.000885551660067401</v>
      </c>
      <c r="AS191" s="220" t="n">
        <f aca="false">Algae_electricity_factor/W191</f>
        <v>0.000855784025579152</v>
      </c>
      <c r="AT191" s="220" t="n">
        <f aca="false">Algae_electricity_factor/X191</f>
        <v>0.000836505957085423</v>
      </c>
      <c r="AU191" s="220" t="n">
        <f aca="false">Algae_electricity_factor/Y191</f>
        <v>0.000824325218991181</v>
      </c>
      <c r="AV191" s="220" t="n">
        <f aca="false">Algae_electricity_factor/Z191</f>
        <v>0.000816748406219158</v>
      </c>
      <c r="AW191" s="220" t="n">
        <f aca="false">Algae_electricity_factor/AA191</f>
        <v>0.000812081178637325</v>
      </c>
      <c r="AX191" s="220" t="n">
        <f aca="false">Algae_electricity_factor/AB191</f>
        <v>0.000809223493393329</v>
      </c>
      <c r="AY191" s="220" t="n">
        <f aca="false">Algae_electricity_factor/AC191</f>
        <v>0.00080748021971213</v>
      </c>
      <c r="AZ191" s="211" t="n">
        <f aca="false">Algae_yield_cost_factor/H191</f>
        <v>0.0891046838572646</v>
      </c>
      <c r="BA191" s="18" t="n">
        <f aca="false">Algae_yield_cost_factor/I191</f>
        <v>0.0891046838572646</v>
      </c>
      <c r="BB191" s="18" t="n">
        <f aca="false">Algae_yield_cost_factor/J191</f>
        <v>0.0891046838572646</v>
      </c>
      <c r="BC191" s="18" t="n">
        <f aca="false">Algae_yield_cost_factor/K191</f>
        <v>0.0891046838572646</v>
      </c>
      <c r="BD191" s="18" t="n">
        <f aca="false">Algae_yield_cost_factor/L191</f>
        <v>0.0891046838572646</v>
      </c>
      <c r="BE191" s="18" t="n">
        <f aca="false">Algae_yield_cost_factor/M191</f>
        <v>0.0850701573629726</v>
      </c>
      <c r="BF191" s="18" t="n">
        <f aca="false">Algae_yield_cost_factor/N191</f>
        <v>0.0828219606561017</v>
      </c>
      <c r="BG191" s="18" t="n">
        <f aca="false">Algae_yield_cost_factor/O191</f>
        <v>0.0796144131720769</v>
      </c>
      <c r="BH191" s="18" t="n">
        <f aca="false">Algae_yield_cost_factor/P191</f>
        <v>0.0753575443554592</v>
      </c>
      <c r="BI191" s="18" t="n">
        <f aca="false">Algae_yield_cost_factor/Q191</f>
        <v>0.070219698369578</v>
      </c>
      <c r="BJ191" s="18" t="n">
        <f aca="false">Algae_yield_cost_factor/R191</f>
        <v>0.0646838862006195</v>
      </c>
      <c r="BK191" s="18" t="n">
        <f aca="false">Algae_yield_cost_factor/S191</f>
        <v>0.0594031225715097</v>
      </c>
      <c r="BL191" s="18" t="n">
        <f aca="false">Algae_yield_cost_factor/T191</f>
        <v>0.0549195176382383</v>
      </c>
      <c r="BM191" s="18" t="n">
        <f aca="false">Algae_yield_cost_factor/U191</f>
        <v>0.0514741008520832</v>
      </c>
      <c r="BN191" s="18" t="n">
        <f aca="false">Algae_yield_cost_factor/V191</f>
        <v>0.0490239519889536</v>
      </c>
      <c r="BO191" s="18" t="n">
        <f aca="false">Algae_yield_cost_factor/W191</f>
        <v>0.0473760220603195</v>
      </c>
      <c r="BP191" s="18" t="n">
        <f aca="false">Algae_yield_cost_factor/X191</f>
        <v>0.0463087922792761</v>
      </c>
      <c r="BQ191" s="18" t="n">
        <f aca="false">Algae_yield_cost_factor/Y191</f>
        <v>0.0456344692031084</v>
      </c>
      <c r="BR191" s="18" t="n">
        <f aca="false">Algae_yield_cost_factor/Z191</f>
        <v>0.0452150184558344</v>
      </c>
      <c r="BS191" s="18" t="n">
        <f aca="false">Algae_yield_cost_factor/AA191</f>
        <v>0.044956641727281</v>
      </c>
      <c r="BT191" s="18" t="n">
        <f aca="false">Algae_yield_cost_factor/AB191</f>
        <v>0.0447984408785687</v>
      </c>
      <c r="BU191" s="18" t="n">
        <f aca="false">Algae_yield_cost_factor/AC191</f>
        <v>0.0447019336174969</v>
      </c>
    </row>
    <row r="192" customFormat="false" ht="15" hidden="false" customHeight="false" outlineLevel="0" collapsed="false">
      <c r="A192" s="18" t="s">
        <v>716</v>
      </c>
      <c r="B192" s="18" t="s">
        <v>22</v>
      </c>
      <c r="C192" s="18" t="s">
        <v>685</v>
      </c>
      <c r="D192" s="18" t="s">
        <v>685</v>
      </c>
      <c r="E192" s="185" t="n">
        <v>8.3985</v>
      </c>
      <c r="F192" s="18" t="n">
        <f aca="false">E192/$B$2*$F$3/1000</f>
        <v>0.020576325</v>
      </c>
      <c r="G192" s="18" t="n">
        <f aca="false">LOOKUP(RIGHT(D192,5),Ref!$C$4:$C$21,Ref!$E$4:$E$21)*$G$3</f>
        <v>4</v>
      </c>
      <c r="H192" s="222" t="n">
        <f aca="false">$E192</f>
        <v>8.3985</v>
      </c>
      <c r="I192" s="185" t="n">
        <f aca="false">$E192</f>
        <v>8.3985</v>
      </c>
      <c r="J192" s="185" t="n">
        <f aca="false">$E192</f>
        <v>8.3985</v>
      </c>
      <c r="K192" s="185" t="n">
        <f aca="false">$E192</f>
        <v>8.3985</v>
      </c>
      <c r="L192" s="185" t="n">
        <f aca="false">$E192</f>
        <v>8.3985</v>
      </c>
      <c r="M192" s="185" t="n">
        <f aca="false">M$3*$E192</f>
        <v>8.79680619588179</v>
      </c>
      <c r="N192" s="185" t="n">
        <f aca="false">N$3*$E192</f>
        <v>9.03559492490841</v>
      </c>
      <c r="O192" s="185" t="n">
        <f aca="false">O$3*$E192</f>
        <v>9.39962574060275</v>
      </c>
      <c r="P192" s="185" t="n">
        <f aca="false">P$3*$E192</f>
        <v>9.93060076168768</v>
      </c>
      <c r="Q192" s="185" t="n">
        <f aca="false">Q$3*$E192</f>
        <v>10.6572045273759</v>
      </c>
      <c r="R192" s="185" t="n">
        <f aca="false">R$3*$E192</f>
        <v>11.5692753069012</v>
      </c>
      <c r="S192" s="185" t="n">
        <f aca="false">S$3*$E192</f>
        <v>12.59775</v>
      </c>
      <c r="T192" s="185" t="n">
        <f aca="false">T$3*$E192</f>
        <v>13.6262246930988</v>
      </c>
      <c r="U192" s="185" t="n">
        <f aca="false">U$3*$E192</f>
        <v>14.5382954726241</v>
      </c>
      <c r="V192" s="185" t="n">
        <f aca="false">V$3*$E192</f>
        <v>15.2648992383123</v>
      </c>
      <c r="W192" s="185" t="n">
        <f aca="false">W$3*$E192</f>
        <v>15.7958742593972</v>
      </c>
      <c r="X192" s="185" t="n">
        <f aca="false">X$3*$E192</f>
        <v>16.1599050750916</v>
      </c>
      <c r="Y192" s="185" t="n">
        <f aca="false">Y$3*$E192</f>
        <v>16.3986938041182</v>
      </c>
      <c r="Z192" s="185" t="n">
        <f aca="false">Z$3*$E192</f>
        <v>16.5508212300347</v>
      </c>
      <c r="AA192" s="185" t="n">
        <f aca="false">AA$3*$E192</f>
        <v>16.6459428156334</v>
      </c>
      <c r="AB192" s="185" t="n">
        <f aca="false">AB$3*$E192</f>
        <v>16.704726162317</v>
      </c>
      <c r="AC192" s="185" t="n">
        <f aca="false">AC$3*$E192</f>
        <v>16.7407900915124</v>
      </c>
      <c r="AD192" s="219" t="n">
        <f aca="false">Algae_electricity_factor/H192</f>
        <v>0.00163643473281291</v>
      </c>
      <c r="AE192" s="220" t="n">
        <f aca="false">Algae_electricity_factor/I192</f>
        <v>0.00163643473281291</v>
      </c>
      <c r="AF192" s="220" t="n">
        <f aca="false">Algae_electricity_factor/J192</f>
        <v>0.00163643473281291</v>
      </c>
      <c r="AG192" s="220" t="n">
        <f aca="false">Algae_electricity_factor/K192</f>
        <v>0.00163643473281291</v>
      </c>
      <c r="AH192" s="220" t="n">
        <f aca="false">Algae_electricity_factor/L192</f>
        <v>0.00163643473281291</v>
      </c>
      <c r="AI192" s="220" t="n">
        <f aca="false">Algae_electricity_factor/M192</f>
        <v>0.00156233942154634</v>
      </c>
      <c r="AJ192" s="220" t="n">
        <f aca="false">Algae_electricity_factor/N192</f>
        <v>0.00152105060239501</v>
      </c>
      <c r="AK192" s="220" t="n">
        <f aca="false">Algae_electricity_factor/O192</f>
        <v>0.00146214301322256</v>
      </c>
      <c r="AL192" s="220" t="n">
        <f aca="false">Algae_electricity_factor/P192</f>
        <v>0.00138396431730013</v>
      </c>
      <c r="AM192" s="220" t="n">
        <f aca="false">Algae_electricity_factor/Q192</f>
        <v>0.00128960620660185</v>
      </c>
      <c r="AN192" s="220" t="n">
        <f aca="false">Algae_electricity_factor/R192</f>
        <v>0.0011879393254071</v>
      </c>
      <c r="AO192" s="220" t="n">
        <f aca="false">Algae_electricity_factor/S192</f>
        <v>0.00109095648854194</v>
      </c>
      <c r="AP192" s="220" t="n">
        <f aca="false">Algae_electricity_factor/T192</f>
        <v>0.00100861371458889</v>
      </c>
      <c r="AQ192" s="220" t="n">
        <f aca="false">Algae_electricity_factor/U192</f>
        <v>0.00094533758303432</v>
      </c>
      <c r="AR192" s="220" t="n">
        <f aca="false">Algae_electricity_factor/V192</f>
        <v>0.000900339850854381</v>
      </c>
      <c r="AS192" s="220" t="n">
        <f aca="false">Algae_electricity_factor/W192</f>
        <v>0.000870075114414952</v>
      </c>
      <c r="AT192" s="220" t="n">
        <f aca="false">Algae_electricity_factor/X192</f>
        <v>0.000850475113539698</v>
      </c>
      <c r="AU192" s="220" t="n">
        <f aca="false">Algae_electricity_factor/Y192</f>
        <v>0.0008380909642985</v>
      </c>
      <c r="AV192" s="220" t="n">
        <f aca="false">Algae_electricity_factor/Z192</f>
        <v>0.000830387623218888</v>
      </c>
      <c r="AW192" s="220" t="n">
        <f aca="false">Algae_electricity_factor/AA192</f>
        <v>0.000825642455687261</v>
      </c>
      <c r="AX192" s="220" t="n">
        <f aca="false">Algae_electricity_factor/AB192</f>
        <v>0.000822737048783984</v>
      </c>
      <c r="AY192" s="220" t="n">
        <f aca="false">Algae_electricity_factor/AC192</f>
        <v>0.000820964663459778</v>
      </c>
      <c r="AZ192" s="211" t="n">
        <f aca="false">Algae_yield_cost_factor/H192</f>
        <v>0.0905926795601855</v>
      </c>
      <c r="BA192" s="18" t="n">
        <f aca="false">Algae_yield_cost_factor/I192</f>
        <v>0.0905926795601855</v>
      </c>
      <c r="BB192" s="18" t="n">
        <f aca="false">Algae_yield_cost_factor/J192</f>
        <v>0.0905926795601855</v>
      </c>
      <c r="BC192" s="18" t="n">
        <f aca="false">Algae_yield_cost_factor/K192</f>
        <v>0.0905926795601855</v>
      </c>
      <c r="BD192" s="18" t="n">
        <f aca="false">Algae_yield_cost_factor/L192</f>
        <v>0.0905926795601855</v>
      </c>
      <c r="BE192" s="18" t="n">
        <f aca="false">Algae_yield_cost_factor/M192</f>
        <v>0.0864907788513523</v>
      </c>
      <c r="BF192" s="18" t="n">
        <f aca="false">Algae_yield_cost_factor/N192</f>
        <v>0.0842050385845434</v>
      </c>
      <c r="BG192" s="18" t="n">
        <f aca="false">Algae_yield_cost_factor/O192</f>
        <v>0.0809439269480349</v>
      </c>
      <c r="BH192" s="18" t="n">
        <f aca="false">Algae_yield_cost_factor/P192</f>
        <v>0.0766159709311397</v>
      </c>
      <c r="BI192" s="18" t="n">
        <f aca="false">Algae_yield_cost_factor/Q192</f>
        <v>0.0713923259454943</v>
      </c>
      <c r="BJ192" s="18" t="n">
        <f aca="false">Algae_yield_cost_factor/R192</f>
        <v>0.0657640689760719</v>
      </c>
      <c r="BK192" s="18" t="n">
        <f aca="false">Algae_yield_cost_factor/S192</f>
        <v>0.0603951197067903</v>
      </c>
      <c r="BL192" s="18" t="n">
        <f aca="false">Algae_yield_cost_factor/T192</f>
        <v>0.0558366412137295</v>
      </c>
      <c r="BM192" s="18" t="n">
        <f aca="false">Algae_yield_cost_factor/U192</f>
        <v>0.0523336879979431</v>
      </c>
      <c r="BN192" s="18" t="n">
        <f aca="false">Algae_yield_cost_factor/V192</f>
        <v>0.0498426230928948</v>
      </c>
      <c r="BO192" s="18" t="n">
        <f aca="false">Algae_yield_cost_factor/W192</f>
        <v>0.0481671737057276</v>
      </c>
      <c r="BP192" s="18" t="n">
        <f aca="false">Algae_yield_cost_factor/X192</f>
        <v>0.0470821218163564</v>
      </c>
      <c r="BQ192" s="18" t="n">
        <f aca="false">Algae_yield_cost_factor/Y192</f>
        <v>0.0463965379422566</v>
      </c>
      <c r="BR192" s="18" t="n">
        <f aca="false">Algae_yield_cost_factor/Z192</f>
        <v>0.0459700826147236</v>
      </c>
      <c r="BS192" s="18" t="n">
        <f aca="false">Algae_yield_cost_factor/AA192</f>
        <v>0.0457073911470882</v>
      </c>
      <c r="BT192" s="18" t="n">
        <f aca="false">Algae_yield_cost_factor/AB192</f>
        <v>0.0455465484374446</v>
      </c>
      <c r="BU192" s="18" t="n">
        <f aca="false">Algae_yield_cost_factor/AC192</f>
        <v>0.0454484295619934</v>
      </c>
    </row>
    <row r="193" customFormat="false" ht="15" hidden="false" customHeight="false" outlineLevel="0" collapsed="false">
      <c r="A193" s="18" t="s">
        <v>716</v>
      </c>
      <c r="B193" s="18" t="s">
        <v>22</v>
      </c>
      <c r="C193" s="18" t="s">
        <v>686</v>
      </c>
      <c r="D193" s="18" t="s">
        <v>686</v>
      </c>
      <c r="E193" s="185" t="n">
        <v>7.524</v>
      </c>
      <c r="F193" s="18" t="n">
        <f aca="false">E193/$B$2*$F$3/1000</f>
        <v>0.0184338</v>
      </c>
      <c r="G193" s="18" t="n">
        <f aca="false">LOOKUP(RIGHT(D193,5),Ref!$C$4:$C$21,Ref!$E$4:$E$21)*$G$3</f>
        <v>4.5</v>
      </c>
      <c r="H193" s="222" t="n">
        <f aca="false">$E193</f>
        <v>7.524</v>
      </c>
      <c r="I193" s="185" t="n">
        <f aca="false">$E193</f>
        <v>7.524</v>
      </c>
      <c r="J193" s="185" t="n">
        <f aca="false">$E193</f>
        <v>7.524</v>
      </c>
      <c r="K193" s="185" t="n">
        <f aca="false">$E193</f>
        <v>7.524</v>
      </c>
      <c r="L193" s="185" t="n">
        <f aca="false">$E193</f>
        <v>7.524</v>
      </c>
      <c r="M193" s="185" t="n">
        <f aca="false">M$3*$E193</f>
        <v>7.88083226978801</v>
      </c>
      <c r="N193" s="185" t="n">
        <f aca="false">N$3*$E193</f>
        <v>8.09475694647984</v>
      </c>
      <c r="O193" s="185" t="n">
        <f aca="false">O$3*$E193</f>
        <v>8.42088278529441</v>
      </c>
      <c r="P193" s="185" t="n">
        <f aca="false">P$3*$E193</f>
        <v>8.89656964111903</v>
      </c>
      <c r="Q193" s="185" t="n">
        <f aca="false">Q$3*$E193</f>
        <v>9.54751525438785</v>
      </c>
      <c r="R193" s="185" t="n">
        <f aca="false">R$3*$E193</f>
        <v>10.3646159920372</v>
      </c>
      <c r="S193" s="185" t="n">
        <f aca="false">S$3*$E193</f>
        <v>11.286</v>
      </c>
      <c r="T193" s="185" t="n">
        <f aca="false">T$3*$E193</f>
        <v>12.2073840079628</v>
      </c>
      <c r="U193" s="185" t="n">
        <f aca="false">U$3*$E193</f>
        <v>13.0244847456122</v>
      </c>
      <c r="V193" s="185" t="n">
        <f aca="false">V$3*$E193</f>
        <v>13.675430358881</v>
      </c>
      <c r="W193" s="185" t="n">
        <f aca="false">W$3*$E193</f>
        <v>14.1511172147056</v>
      </c>
      <c r="X193" s="185" t="n">
        <f aca="false">X$3*$E193</f>
        <v>14.4772430535202</v>
      </c>
      <c r="Y193" s="185" t="n">
        <f aca="false">Y$3*$E193</f>
        <v>14.691167730212</v>
      </c>
      <c r="Z193" s="185" t="n">
        <f aca="false">Z$3*$E193</f>
        <v>14.8274547758268</v>
      </c>
      <c r="AA193" s="185" t="n">
        <f aca="false">AA$3*$E193</f>
        <v>14.9126717562452</v>
      </c>
      <c r="AB193" s="185" t="n">
        <f aca="false">AB$3*$E193</f>
        <v>14.9653342436474</v>
      </c>
      <c r="AC193" s="185" t="n">
        <f aca="false">AC$3*$E193</f>
        <v>14.9976429896457</v>
      </c>
      <c r="AD193" s="219" t="n">
        <f aca="false">Algae_electricity_factor/H193</f>
        <v>0.00182663438377582</v>
      </c>
      <c r="AE193" s="220" t="n">
        <f aca="false">Algae_electricity_factor/I193</f>
        <v>0.00182663438377582</v>
      </c>
      <c r="AF193" s="220" t="n">
        <f aca="false">Algae_electricity_factor/J193</f>
        <v>0.00182663438377582</v>
      </c>
      <c r="AG193" s="220" t="n">
        <f aca="false">Algae_electricity_factor/K193</f>
        <v>0.00182663438377582</v>
      </c>
      <c r="AH193" s="220" t="n">
        <f aca="false">Algae_electricity_factor/L193</f>
        <v>0.00182663438377582</v>
      </c>
      <c r="AI193" s="220" t="n">
        <f aca="false">Algae_electricity_factor/M193</f>
        <v>0.00174392711747169</v>
      </c>
      <c r="AJ193" s="220" t="n">
        <f aca="false">Algae_electricity_factor/N193</f>
        <v>0.00169783937855057</v>
      </c>
      <c r="AK193" s="220" t="n">
        <f aca="false">Algae_electricity_factor/O193</f>
        <v>0.00163208507396992</v>
      </c>
      <c r="AL193" s="220" t="n">
        <f aca="false">Algae_electricity_factor/P193</f>
        <v>0.00154481981909159</v>
      </c>
      <c r="AM193" s="220" t="n">
        <f aca="false">Algae_electricity_factor/Q193</f>
        <v>0.00143949464728145</v>
      </c>
      <c r="AN193" s="220" t="n">
        <f aca="false">Algae_electricity_factor/R193</f>
        <v>0.00132601122068468</v>
      </c>
      <c r="AO193" s="220" t="n">
        <f aca="false">Algae_electricity_factor/S193</f>
        <v>0.00121775625585055</v>
      </c>
      <c r="AP193" s="220" t="n">
        <f aca="false">Algae_electricity_factor/T193</f>
        <v>0.00112584294018804</v>
      </c>
      <c r="AQ193" s="220" t="n">
        <f aca="false">Algae_electricity_factor/U193</f>
        <v>0.00105521234597471</v>
      </c>
      <c r="AR193" s="220" t="n">
        <f aca="false">Algae_electricity_factor/V193</f>
        <v>0.00100498461422123</v>
      </c>
      <c r="AS193" s="220" t="n">
        <f aca="false">Algae_electricity_factor/W193</f>
        <v>0.000971202265871076</v>
      </c>
      <c r="AT193" s="220" t="n">
        <f aca="false">Algae_electricity_factor/X193</f>
        <v>0.000949324194718654</v>
      </c>
      <c r="AU193" s="220" t="n">
        <f aca="false">Algae_electricity_factor/Y193</f>
        <v>0.000935500659710387</v>
      </c>
      <c r="AV193" s="220" t="n">
        <f aca="false">Algae_electricity_factor/Z193</f>
        <v>0.000926901974163189</v>
      </c>
      <c r="AW193" s="220" t="n">
        <f aca="false">Algae_electricity_factor/AA193</f>
        <v>0.000921605284966702</v>
      </c>
      <c r="AX193" s="220" t="n">
        <f aca="false">Algae_electricity_factor/AB193</f>
        <v>0.000918362188225982</v>
      </c>
      <c r="AY193" s="220" t="n">
        <f aca="false">Algae_electricity_factor/AC193</f>
        <v>0.000916383801975936</v>
      </c>
      <c r="AZ193" s="211" t="n">
        <f aca="false">Algae_yield_cost_factor/H193</f>
        <v>0.101122091877488</v>
      </c>
      <c r="BA193" s="18" t="n">
        <f aca="false">Algae_yield_cost_factor/I193</f>
        <v>0.101122091877488</v>
      </c>
      <c r="BB193" s="18" t="n">
        <f aca="false">Algae_yield_cost_factor/J193</f>
        <v>0.101122091877488</v>
      </c>
      <c r="BC193" s="18" t="n">
        <f aca="false">Algae_yield_cost_factor/K193</f>
        <v>0.101122091877488</v>
      </c>
      <c r="BD193" s="18" t="n">
        <f aca="false">Algae_yield_cost_factor/L193</f>
        <v>0.101122091877488</v>
      </c>
      <c r="BE193" s="18" t="n">
        <f aca="false">Algae_yield_cost_factor/M193</f>
        <v>0.0965434351652156</v>
      </c>
      <c r="BF193" s="18" t="n">
        <f aca="false">Algae_yield_cost_factor/N193</f>
        <v>0.0939920277182733</v>
      </c>
      <c r="BG193" s="18" t="n">
        <f aca="false">Algae_yield_cost_factor/O193</f>
        <v>0.0903518833696267</v>
      </c>
      <c r="BH193" s="18" t="n">
        <f aca="false">Algae_yield_cost_factor/P193</f>
        <v>0.0855208973770836</v>
      </c>
      <c r="BI193" s="18" t="n">
        <f aca="false">Algae_yield_cost_factor/Q193</f>
        <v>0.079690118215475</v>
      </c>
      <c r="BJ193" s="18" t="n">
        <f aca="false">Algae_yield_cost_factor/R193</f>
        <v>0.0734076998000452</v>
      </c>
      <c r="BK193" s="18" t="n">
        <f aca="false">Algae_yield_cost_factor/S193</f>
        <v>0.0674147279183252</v>
      </c>
      <c r="BL193" s="18" t="n">
        <f aca="false">Algae_yield_cost_factor/T193</f>
        <v>0.0623264262670797</v>
      </c>
      <c r="BM193" s="18" t="n">
        <f aca="false">Algae_yield_cost_factor/U193</f>
        <v>0.0584163315591075</v>
      </c>
      <c r="BN193" s="18" t="n">
        <f aca="false">Algae_yield_cost_factor/V193</f>
        <v>0.0556357349874637</v>
      </c>
      <c r="BO193" s="18" t="n">
        <f aca="false">Algae_yield_cost_factor/W193</f>
        <v>0.0537655513513494</v>
      </c>
      <c r="BP193" s="18" t="n">
        <f aca="false">Algae_yield_cost_factor/X193</f>
        <v>0.0525543859748364</v>
      </c>
      <c r="BQ193" s="18" t="n">
        <f aca="false">Algae_yield_cost_factor/Y193</f>
        <v>0.0517891180101065</v>
      </c>
      <c r="BR193" s="18" t="n">
        <f aca="false">Algae_yield_cost_factor/Z193</f>
        <v>0.0513130966028384</v>
      </c>
      <c r="BS193" s="18" t="n">
        <f aca="false">Algae_yield_cost_factor/AA193</f>
        <v>0.0510198730128682</v>
      </c>
      <c r="BT193" s="18" t="n">
        <f aca="false">Algae_yield_cost_factor/AB193</f>
        <v>0.0508403358654809</v>
      </c>
      <c r="BU193" s="18" t="n">
        <f aca="false">Algae_yield_cost_factor/AC193</f>
        <v>0.0507308128224882</v>
      </c>
    </row>
    <row r="194" customFormat="false" ht="15" hidden="false" customHeight="false" outlineLevel="0" collapsed="false">
      <c r="A194" s="18" t="s">
        <v>716</v>
      </c>
      <c r="B194" s="18" t="s">
        <v>22</v>
      </c>
      <c r="C194" s="18" t="s">
        <v>687</v>
      </c>
      <c r="D194" s="18" t="s">
        <v>687</v>
      </c>
      <c r="E194" s="185" t="n">
        <v>7.44975</v>
      </c>
      <c r="F194" s="18" t="n">
        <f aca="false">E194/$B$2*$F$3/1000</f>
        <v>0.0182518875</v>
      </c>
      <c r="G194" s="18" t="n">
        <f aca="false">LOOKUP(RIGHT(D194,5),Ref!$C$4:$C$21,Ref!$E$4:$E$21)*$G$3</f>
        <v>4.5</v>
      </c>
      <c r="H194" s="222" t="n">
        <f aca="false">$E194</f>
        <v>7.44975</v>
      </c>
      <c r="I194" s="185" t="n">
        <f aca="false">$E194</f>
        <v>7.44975</v>
      </c>
      <c r="J194" s="185" t="n">
        <f aca="false">$E194</f>
        <v>7.44975</v>
      </c>
      <c r="K194" s="185" t="n">
        <f aca="false">$E194</f>
        <v>7.44975</v>
      </c>
      <c r="L194" s="185" t="n">
        <f aca="false">$E194</f>
        <v>7.44975</v>
      </c>
      <c r="M194" s="185" t="n">
        <f aca="false">M$3*$E194</f>
        <v>7.80306089870458</v>
      </c>
      <c r="N194" s="185" t="n">
        <f aca="false">N$3*$E194</f>
        <v>8.01487447661326</v>
      </c>
      <c r="O194" s="185" t="n">
        <f aca="false">O$3*$E194</f>
        <v>8.33778196833427</v>
      </c>
      <c r="P194" s="185" t="n">
        <f aca="false">P$3*$E194</f>
        <v>8.8087745459764</v>
      </c>
      <c r="Q194" s="185" t="n">
        <f aca="false">Q$3*$E194</f>
        <v>9.45329635385112</v>
      </c>
      <c r="R194" s="185" t="n">
        <f aca="false">R$3*$E194</f>
        <v>10.262333597379</v>
      </c>
      <c r="S194" s="185" t="n">
        <f aca="false">S$3*$E194</f>
        <v>11.174625</v>
      </c>
      <c r="T194" s="185" t="n">
        <f aca="false">T$3*$E194</f>
        <v>12.086916402621</v>
      </c>
      <c r="U194" s="185" t="n">
        <f aca="false">U$3*$E194</f>
        <v>12.8959536461489</v>
      </c>
      <c r="V194" s="185" t="n">
        <f aca="false">V$3*$E194</f>
        <v>13.5404754540236</v>
      </c>
      <c r="W194" s="185" t="n">
        <f aca="false">W$3*$E194</f>
        <v>14.0114680316657</v>
      </c>
      <c r="X194" s="185" t="n">
        <f aca="false">X$3*$E194</f>
        <v>14.3343755233867</v>
      </c>
      <c r="Y194" s="185" t="n">
        <f aca="false">Y$3*$E194</f>
        <v>14.5461891012954</v>
      </c>
      <c r="Z194" s="185" t="n">
        <f aca="false">Z$3*$E194</f>
        <v>14.6811312089601</v>
      </c>
      <c r="AA194" s="185" t="n">
        <f aca="false">AA$3*$E194</f>
        <v>14.7655072323349</v>
      </c>
      <c r="AB194" s="185" t="n">
        <f aca="false">AB$3*$E194</f>
        <v>14.8176500241377</v>
      </c>
      <c r="AC194" s="185" t="n">
        <f aca="false">AC$3*$E194</f>
        <v>14.8496399338268</v>
      </c>
      <c r="AD194" s="219" t="n">
        <f aca="false">Algae_electricity_factor/H194</f>
        <v>0.00184484004208588</v>
      </c>
      <c r="AE194" s="220" t="n">
        <f aca="false">Algae_electricity_factor/I194</f>
        <v>0.00184484004208588</v>
      </c>
      <c r="AF194" s="220" t="n">
        <f aca="false">Algae_electricity_factor/J194</f>
        <v>0.00184484004208588</v>
      </c>
      <c r="AG194" s="220" t="n">
        <f aca="false">Algae_electricity_factor/K194</f>
        <v>0.00184484004208588</v>
      </c>
      <c r="AH194" s="220" t="n">
        <f aca="false">Algae_electricity_factor/L194</f>
        <v>0.00184484004208588</v>
      </c>
      <c r="AI194" s="220" t="n">
        <f aca="false">Algae_electricity_factor/M194</f>
        <v>0.00176130845086841</v>
      </c>
      <c r="AJ194" s="220" t="n">
        <f aca="false">Algae_electricity_factor/N194</f>
        <v>0.00171476136571221</v>
      </c>
      <c r="AK194" s="220" t="n">
        <f aca="false">Algae_electricity_factor/O194</f>
        <v>0.00164835170261414</v>
      </c>
      <c r="AL194" s="220" t="n">
        <f aca="false">Algae_electricity_factor/P194</f>
        <v>0.00156021669436493</v>
      </c>
      <c r="AM194" s="220" t="n">
        <f aca="false">Algae_electricity_factor/Q194</f>
        <v>0.00145384177001183</v>
      </c>
      <c r="AN194" s="220" t="n">
        <f aca="false">Algae_electricity_factor/R194</f>
        <v>0.0013392272793626</v>
      </c>
      <c r="AO194" s="220" t="n">
        <f aca="false">Algae_electricity_factor/S194</f>
        <v>0.00122989336139058</v>
      </c>
      <c r="AP194" s="220" t="n">
        <f aca="false">Algae_electricity_factor/T194</f>
        <v>0.00113706396616998</v>
      </c>
      <c r="AQ194" s="220" t="n">
        <f aca="false">Algae_electricity_factor/U194</f>
        <v>0.00106572941254589</v>
      </c>
      <c r="AR194" s="220" t="n">
        <f aca="false">Algae_electricity_factor/V194</f>
        <v>0.00101500107217028</v>
      </c>
      <c r="AS194" s="220" t="n">
        <f aca="false">Algae_electricity_factor/W194</f>
        <v>0.000980882022673778</v>
      </c>
      <c r="AT194" s="220" t="n">
        <f aca="false">Algae_electricity_factor/X194</f>
        <v>0.000958785897656049</v>
      </c>
      <c r="AU194" s="220" t="n">
        <f aca="false">Algae_electricity_factor/Y194</f>
        <v>0.000944824586551354</v>
      </c>
      <c r="AV194" s="220" t="n">
        <f aca="false">Algae_electricity_factor/Z194</f>
        <v>0.0009361401998193</v>
      </c>
      <c r="AW194" s="220" t="n">
        <f aca="false">Algae_electricity_factor/AA194</f>
        <v>0.000930790719700589</v>
      </c>
      <c r="AX194" s="220" t="n">
        <f aca="false">Algae_electricity_factor/AB194</f>
        <v>0.00092751529973654</v>
      </c>
      <c r="AY194" s="220" t="n">
        <f aca="false">Algae_electricity_factor/AC194</f>
        <v>0.000925517195351112</v>
      </c>
      <c r="AZ194" s="211" t="n">
        <f aca="false">Algae_yield_cost_factor/H194</f>
        <v>0.102129953258326</v>
      </c>
      <c r="BA194" s="18" t="n">
        <f aca="false">Algae_yield_cost_factor/I194</f>
        <v>0.102129953258326</v>
      </c>
      <c r="BB194" s="18" t="n">
        <f aca="false">Algae_yield_cost_factor/J194</f>
        <v>0.102129953258326</v>
      </c>
      <c r="BC194" s="18" t="n">
        <f aca="false">Algae_yield_cost_factor/K194</f>
        <v>0.102129953258326</v>
      </c>
      <c r="BD194" s="18" t="n">
        <f aca="false">Algae_yield_cost_factor/L194</f>
        <v>0.102129953258326</v>
      </c>
      <c r="BE194" s="18" t="n">
        <f aca="false">Algae_yield_cost_factor/M194</f>
        <v>0.0975056620937725</v>
      </c>
      <c r="BF194" s="18" t="n">
        <f aca="false">Algae_yield_cost_factor/N194</f>
        <v>0.0949288253367278</v>
      </c>
      <c r="BG194" s="18" t="n">
        <f aca="false">Algae_yield_cost_factor/O194</f>
        <v>0.091252400479623</v>
      </c>
      <c r="BH194" s="18" t="n">
        <f aca="false">Algae_yield_cost_factor/P194</f>
        <v>0.086373265125028</v>
      </c>
      <c r="BI194" s="18" t="n">
        <f aca="false">Algae_yield_cost_factor/Q194</f>
        <v>0.0804843718853966</v>
      </c>
      <c r="BJ194" s="18" t="n">
        <f aca="false">Algae_yield_cost_factor/R194</f>
        <v>0.0741393380040324</v>
      </c>
      <c r="BK194" s="18" t="n">
        <f aca="false">Algae_yield_cost_factor/S194</f>
        <v>0.068086635505551</v>
      </c>
      <c r="BL194" s="18" t="n">
        <f aca="false">Algae_yield_cost_factor/T194</f>
        <v>0.0629476198843595</v>
      </c>
      <c r="BM194" s="18" t="n">
        <f aca="false">Algae_yield_cost_factor/U194</f>
        <v>0.0589985541327863</v>
      </c>
      <c r="BN194" s="18" t="n">
        <f aca="false">Algae_yield_cost_factor/V194</f>
        <v>0.0561902439740497</v>
      </c>
      <c r="BO194" s="18" t="n">
        <f aca="false">Algae_yield_cost_factor/W194</f>
        <v>0.054301420633921</v>
      </c>
      <c r="BP194" s="18" t="n">
        <f aca="false">Algae_yield_cost_factor/X194</f>
        <v>0.0530781838416952</v>
      </c>
      <c r="BQ194" s="18" t="n">
        <f aca="false">Algae_yield_cost_factor/Y194</f>
        <v>0.052305288621503</v>
      </c>
      <c r="BR194" s="18" t="n">
        <f aca="false">Algae_yield_cost_factor/Z194</f>
        <v>0.0518245228148268</v>
      </c>
      <c r="BS194" s="18" t="n">
        <f aca="false">Algae_yield_cost_factor/AA194</f>
        <v>0.0515283767306044</v>
      </c>
      <c r="BT194" s="18" t="n">
        <f aca="false">Algae_yield_cost_factor/AB194</f>
        <v>0.0513470501764326</v>
      </c>
      <c r="BU194" s="18" t="n">
        <f aca="false">Algae_yield_cost_factor/AC194</f>
        <v>0.0512364355416492</v>
      </c>
    </row>
    <row r="195" customFormat="false" ht="15" hidden="false" customHeight="false" outlineLevel="0" collapsed="false">
      <c r="A195" s="18" t="s">
        <v>716</v>
      </c>
      <c r="B195" s="18" t="s">
        <v>22</v>
      </c>
      <c r="C195" s="18" t="s">
        <v>688</v>
      </c>
      <c r="D195" s="18" t="s">
        <v>688</v>
      </c>
      <c r="E195" s="185" t="n">
        <v>7.6395</v>
      </c>
      <c r="F195" s="18" t="n">
        <f aca="false">E195/$B$2*$F$3/1000</f>
        <v>0.018716775</v>
      </c>
      <c r="G195" s="18" t="n">
        <f aca="false">LOOKUP(RIGHT(D195,5),Ref!$C$4:$C$21,Ref!$E$4:$E$21)*$G$3</f>
        <v>4.5</v>
      </c>
      <c r="H195" s="222" t="n">
        <f aca="false">$E195</f>
        <v>7.6395</v>
      </c>
      <c r="I195" s="185" t="n">
        <f aca="false">$E195</f>
        <v>7.6395</v>
      </c>
      <c r="J195" s="185" t="n">
        <f aca="false">$E195</f>
        <v>7.6395</v>
      </c>
      <c r="K195" s="185" t="n">
        <f aca="false">$E195</f>
        <v>7.6395</v>
      </c>
      <c r="L195" s="185" t="n">
        <f aca="false">$E195</f>
        <v>7.6395</v>
      </c>
      <c r="M195" s="185" t="n">
        <f aca="false">M$3*$E195</f>
        <v>8.00180995814002</v>
      </c>
      <c r="N195" s="185" t="n">
        <f aca="false">N$3*$E195</f>
        <v>8.21901856627229</v>
      </c>
      <c r="O195" s="185" t="n">
        <f aca="false">O$3*$E195</f>
        <v>8.55015072278797</v>
      </c>
      <c r="P195" s="185" t="n">
        <f aca="false">P$3*$E195</f>
        <v>9.03313978911866</v>
      </c>
      <c r="Q195" s="185" t="n">
        <f aca="false">Q$3*$E195</f>
        <v>9.69407798855608</v>
      </c>
      <c r="R195" s="185" t="n">
        <f aca="false">R$3*$E195</f>
        <v>10.5237219392834</v>
      </c>
      <c r="S195" s="185" t="n">
        <f aca="false">S$3*$E195</f>
        <v>11.45925</v>
      </c>
      <c r="T195" s="185" t="n">
        <f aca="false">T$3*$E195</f>
        <v>12.3947780607166</v>
      </c>
      <c r="U195" s="185" t="n">
        <f aca="false">U$3*$E195</f>
        <v>13.2244220114439</v>
      </c>
      <c r="V195" s="185" t="n">
        <f aca="false">V$3*$E195</f>
        <v>13.8853602108813</v>
      </c>
      <c r="W195" s="185" t="n">
        <f aca="false">W$3*$E195</f>
        <v>14.368349277212</v>
      </c>
      <c r="X195" s="185" t="n">
        <f aca="false">X$3*$E195</f>
        <v>14.6994814337277</v>
      </c>
      <c r="Y195" s="185" t="n">
        <f aca="false">Y$3*$E195</f>
        <v>14.91669004186</v>
      </c>
      <c r="Z195" s="185" t="n">
        <f aca="false">Z$3*$E195</f>
        <v>15.055069213175</v>
      </c>
      <c r="AA195" s="185" t="n">
        <f aca="false">AA$3*$E195</f>
        <v>15.1415943489946</v>
      </c>
      <c r="AB195" s="185" t="n">
        <f aca="false">AB$3*$E195</f>
        <v>15.1950652517736</v>
      </c>
      <c r="AC195" s="185" t="n">
        <f aca="false">AC$3*$E195</f>
        <v>15.2278699653639</v>
      </c>
      <c r="AD195" s="219" t="n">
        <f aca="false">Algae_electricity_factor/H195</f>
        <v>0.00179901788121333</v>
      </c>
      <c r="AE195" s="220" t="n">
        <f aca="false">Algae_electricity_factor/I195</f>
        <v>0.00179901788121333</v>
      </c>
      <c r="AF195" s="220" t="n">
        <f aca="false">Algae_electricity_factor/J195</f>
        <v>0.00179901788121333</v>
      </c>
      <c r="AG195" s="220" t="n">
        <f aca="false">Algae_electricity_factor/K195</f>
        <v>0.00179901788121333</v>
      </c>
      <c r="AH195" s="220" t="n">
        <f aca="false">Algae_electricity_factor/L195</f>
        <v>0.00179901788121333</v>
      </c>
      <c r="AI195" s="220" t="n">
        <f aca="false">Algae_electricity_factor/M195</f>
        <v>0.00171756104874101</v>
      </c>
      <c r="AJ195" s="220" t="n">
        <f aca="false">Algae_electricity_factor/N195</f>
        <v>0.00167217010068912</v>
      </c>
      <c r="AK195" s="220" t="n">
        <f aca="false">Algae_electricity_factor/O195</f>
        <v>0.00160740992166368</v>
      </c>
      <c r="AL195" s="220" t="n">
        <f aca="false">Algae_electricity_factor/P195</f>
        <v>0.00152146401189151</v>
      </c>
      <c r="AM195" s="220" t="n">
        <f aca="false">Algae_electricity_factor/Q195</f>
        <v>0.00141773122928799</v>
      </c>
      <c r="AN195" s="220" t="n">
        <f aca="false">Algae_electricity_factor/R195</f>
        <v>0.00130596353484279</v>
      </c>
      <c r="AO195" s="220" t="n">
        <f aca="false">Algae_electricity_factor/S195</f>
        <v>0.00119934525414222</v>
      </c>
      <c r="AP195" s="220" t="n">
        <f aca="false">Algae_electricity_factor/T195</f>
        <v>0.00110882155664308</v>
      </c>
      <c r="AQ195" s="220" t="n">
        <f aca="false">Algae_electricity_factor/U195</f>
        <v>0.00103925881158633</v>
      </c>
      <c r="AR195" s="220" t="n">
        <f aca="false">Algae_electricity_factor/V195</f>
        <v>0.000989790462386349</v>
      </c>
      <c r="AS195" s="220" t="n">
        <f aca="false">Algae_electricity_factor/W195</f>
        <v>0.000956518862283393</v>
      </c>
      <c r="AT195" s="220" t="n">
        <f aca="false">Algae_electricity_factor/X195</f>
        <v>0.000934971561105197</v>
      </c>
      <c r="AU195" s="220" t="n">
        <f aca="false">Algae_electricity_factor/Y195</f>
        <v>0.000921357021226644</v>
      </c>
      <c r="AV195" s="220" t="n">
        <f aca="false">Algae_electricity_factor/Z195</f>
        <v>0.000912888337404782</v>
      </c>
      <c r="AW195" s="220" t="n">
        <f aca="false">Algae_electricity_factor/AA195</f>
        <v>0.000907671727742583</v>
      </c>
      <c r="AX195" s="220" t="n">
        <f aca="false">Algae_electricity_factor/AB195</f>
        <v>0.000904477662702047</v>
      </c>
      <c r="AY195" s="220" t="n">
        <f aca="false">Algae_electricity_factor/AC195</f>
        <v>0.000902529187259237</v>
      </c>
      <c r="AZ195" s="211" t="n">
        <f aca="false">Algae_yield_cost_factor/H195</f>
        <v>0.0995932481557979</v>
      </c>
      <c r="BA195" s="18" t="n">
        <f aca="false">Algae_yield_cost_factor/I195</f>
        <v>0.0995932481557979</v>
      </c>
      <c r="BB195" s="18" t="n">
        <f aca="false">Algae_yield_cost_factor/J195</f>
        <v>0.0995932481557979</v>
      </c>
      <c r="BC195" s="18" t="n">
        <f aca="false">Algae_yield_cost_factor/K195</f>
        <v>0.0995932481557979</v>
      </c>
      <c r="BD195" s="18" t="n">
        <f aca="false">Algae_yield_cost_factor/L195</f>
        <v>0.0995932481557979</v>
      </c>
      <c r="BE195" s="18" t="n">
        <f aca="false">Algae_yield_cost_factor/M195</f>
        <v>0.0950838151951151</v>
      </c>
      <c r="BF195" s="18" t="n">
        <f aca="false">Algae_yield_cost_factor/N195</f>
        <v>0.092570981942835</v>
      </c>
      <c r="BG195" s="18" t="n">
        <f aca="false">Algae_yield_cost_factor/O195</f>
        <v>0.0889858721739736</v>
      </c>
      <c r="BH195" s="18" t="n">
        <f aca="false">Algae_yield_cost_factor/P195</f>
        <v>0.0842279248465446</v>
      </c>
      <c r="BI195" s="18" t="n">
        <f aca="false">Algae_yield_cost_factor/Q195</f>
        <v>0.0784853000135131</v>
      </c>
      <c r="BJ195" s="18" t="n">
        <f aca="false">Algae_yield_cost_factor/R195</f>
        <v>0.0722978641659192</v>
      </c>
      <c r="BK195" s="18" t="n">
        <f aca="false">Algae_yield_cost_factor/S195</f>
        <v>0.0663954987705319</v>
      </c>
      <c r="BL195" s="18" t="n">
        <f aca="false">Algae_yield_cost_factor/T195</f>
        <v>0.0613841260859359</v>
      </c>
      <c r="BM195" s="18" t="n">
        <f aca="false">Algae_yield_cost_factor/U195</f>
        <v>0.0575331472806761</v>
      </c>
      <c r="BN195" s="18" t="n">
        <f aca="false">Algae_yield_cost_factor/V195</f>
        <v>0.054794589966055</v>
      </c>
      <c r="BO195" s="18" t="n">
        <f aca="false">Algae_yield_cost_factor/W195</f>
        <v>0.0529526812445256</v>
      </c>
      <c r="BP195" s="18" t="n">
        <f aca="false">Algae_yield_cost_factor/X195</f>
        <v>0.051759827223597</v>
      </c>
      <c r="BQ195" s="18" t="n">
        <f aca="false">Algae_yield_cost_factor/Y195</f>
        <v>0.0510061291848998</v>
      </c>
      <c r="BR195" s="18" t="n">
        <f aca="false">Algae_yield_cost_factor/Z195</f>
        <v>0.0505373046455601</v>
      </c>
      <c r="BS195" s="18" t="n">
        <f aca="false">Algae_yield_cost_factor/AA195</f>
        <v>0.0502485142416154</v>
      </c>
      <c r="BT195" s="18" t="n">
        <f aca="false">Algae_yield_cost_factor/AB195</f>
        <v>0.0500716914787458</v>
      </c>
      <c r="BU195" s="18" t="n">
        <f aca="false">Algae_yield_cost_factor/AC195</f>
        <v>0.0499638242916947</v>
      </c>
    </row>
    <row r="196" customFormat="false" ht="15" hidden="false" customHeight="false" outlineLevel="0" collapsed="false">
      <c r="A196" s="18" t="s">
        <v>717</v>
      </c>
      <c r="B196" s="18" t="s">
        <v>22</v>
      </c>
      <c r="C196" s="18" t="s">
        <v>692</v>
      </c>
      <c r="D196" s="18" t="s">
        <v>692</v>
      </c>
      <c r="E196" s="185" t="n">
        <v>8.32425</v>
      </c>
      <c r="F196" s="18" t="n">
        <f aca="false">E196/$B$2*$F$3/1000</f>
        <v>0.0203944125</v>
      </c>
      <c r="G196" s="18" t="n">
        <f aca="false">LOOKUP(RIGHT(D196,5),Ref!$C$4:$C$21,Ref!$E$4:$E$21)*$G$3</f>
        <v>2.5</v>
      </c>
      <c r="H196" s="222" t="n">
        <f aca="false">$E196</f>
        <v>8.32425</v>
      </c>
      <c r="I196" s="185" t="n">
        <f aca="false">$E196</f>
        <v>8.32425</v>
      </c>
      <c r="J196" s="185" t="n">
        <f aca="false">$E196</f>
        <v>8.32425</v>
      </c>
      <c r="K196" s="185" t="n">
        <f aca="false">$E196</f>
        <v>8.32425</v>
      </c>
      <c r="L196" s="185" t="n">
        <f aca="false">$E196</f>
        <v>8.32425</v>
      </c>
      <c r="M196" s="185" t="n">
        <f aca="false">M$3*$E196</f>
        <v>8.71903482479836</v>
      </c>
      <c r="N196" s="185" t="n">
        <f aca="false">N$3*$E196</f>
        <v>8.95571245504184</v>
      </c>
      <c r="O196" s="185" t="n">
        <f aca="false">O$3*$E196</f>
        <v>9.31652492364261</v>
      </c>
      <c r="P196" s="185" t="n">
        <f aca="false">P$3*$E196</f>
        <v>9.84280566654506</v>
      </c>
      <c r="Q196" s="185" t="n">
        <f aca="false">Q$3*$E196</f>
        <v>10.5629856268392</v>
      </c>
      <c r="R196" s="185" t="n">
        <f aca="false">R$3*$E196</f>
        <v>11.466992912243</v>
      </c>
      <c r="S196" s="185" t="n">
        <f aca="false">S$3*$E196</f>
        <v>12.486375</v>
      </c>
      <c r="T196" s="185" t="n">
        <f aca="false">T$3*$E196</f>
        <v>13.505757087757</v>
      </c>
      <c r="U196" s="185" t="n">
        <f aca="false">U$3*$E196</f>
        <v>14.4097643731608</v>
      </c>
      <c r="V196" s="185" t="n">
        <f aca="false">V$3*$E196</f>
        <v>15.1299443334549</v>
      </c>
      <c r="W196" s="185" t="n">
        <f aca="false">W$3*$E196</f>
        <v>15.6562250763574</v>
      </c>
      <c r="X196" s="185" t="n">
        <f aca="false">X$3*$E196</f>
        <v>16.0170375449582</v>
      </c>
      <c r="Y196" s="185" t="n">
        <f aca="false">Y$3*$E196</f>
        <v>16.2537151752016</v>
      </c>
      <c r="Z196" s="185" t="n">
        <f aca="false">Z$3*$E196</f>
        <v>16.404497663168</v>
      </c>
      <c r="AA196" s="185" t="n">
        <f aca="false">AA$3*$E196</f>
        <v>16.4987782917231</v>
      </c>
      <c r="AB196" s="185" t="n">
        <f aca="false">AB$3*$E196</f>
        <v>16.5570419428073</v>
      </c>
      <c r="AC196" s="185" t="n">
        <f aca="false">AC$3*$E196</f>
        <v>16.5927870356935</v>
      </c>
      <c r="AD196" s="219" t="n">
        <f aca="false">Algae_electricity_factor/H196</f>
        <v>0.00165103127651491</v>
      </c>
      <c r="AE196" s="220" t="n">
        <f aca="false">Algae_electricity_factor/I196</f>
        <v>0.00165103127651491</v>
      </c>
      <c r="AF196" s="220" t="n">
        <f aca="false">Algae_electricity_factor/J196</f>
        <v>0.00165103127651491</v>
      </c>
      <c r="AG196" s="220" t="n">
        <f aca="false">Algae_electricity_factor/K196</f>
        <v>0.00165103127651491</v>
      </c>
      <c r="AH196" s="220" t="n">
        <f aca="false">Algae_electricity_factor/L196</f>
        <v>0.00165103127651491</v>
      </c>
      <c r="AI196" s="220" t="n">
        <f aca="false">Algae_electricity_factor/M196</f>
        <v>0.00157627505563348</v>
      </c>
      <c r="AJ196" s="220" t="n">
        <f aca="false">Algae_electricity_factor/N196</f>
        <v>0.00153461795167307</v>
      </c>
      <c r="AK196" s="220" t="n">
        <f aca="false">Algae_electricity_factor/O196</f>
        <v>0.0014751849231522</v>
      </c>
      <c r="AL196" s="220" t="n">
        <f aca="false">Algae_electricity_factor/P196</f>
        <v>0.00139630889495692</v>
      </c>
      <c r="AM196" s="220" t="n">
        <f aca="false">Algae_electricity_factor/Q196</f>
        <v>0.00130110913609582</v>
      </c>
      <c r="AN196" s="220" t="n">
        <f aca="false">Algae_electricity_factor/R196</f>
        <v>0.00119853541453363</v>
      </c>
      <c r="AO196" s="220" t="n">
        <f aca="false">Algae_electricity_factor/S196</f>
        <v>0.00110068751767661</v>
      </c>
      <c r="AP196" s="220" t="n">
        <f aca="false">Algae_electricity_factor/T196</f>
        <v>0.00101761026903022</v>
      </c>
      <c r="AQ196" s="220" t="n">
        <f aca="false">Algae_electricity_factor/U196</f>
        <v>0.000953769731941465</v>
      </c>
      <c r="AR196" s="220" t="n">
        <f aca="false">Algae_electricity_factor/V196</f>
        <v>0.000908370632477462</v>
      </c>
      <c r="AS196" s="220" t="n">
        <f aca="false">Algae_electricity_factor/W196</f>
        <v>0.000877835942987534</v>
      </c>
      <c r="AT196" s="220" t="n">
        <f aca="false">Algae_electricity_factor/X196</f>
        <v>0.000858061115543521</v>
      </c>
      <c r="AU196" s="220" t="n">
        <f aca="false">Algae_electricity_factor/Y196</f>
        <v>0.000845566503127723</v>
      </c>
      <c r="AV196" s="220" t="n">
        <f aca="false">Algae_electricity_factor/Z196</f>
        <v>0.000837794450383378</v>
      </c>
      <c r="AW196" s="220" t="n">
        <f aca="false">Algae_electricity_factor/AA196</f>
        <v>0.000833006957274164</v>
      </c>
      <c r="AX196" s="220" t="n">
        <f aca="false">Algae_electricity_factor/AB196</f>
        <v>0.000830075634947567</v>
      </c>
      <c r="AY196" s="220" t="n">
        <f aca="false">Algae_electricity_factor/AC196</f>
        <v>0.000828287440438111</v>
      </c>
      <c r="AZ196" s="211" t="n">
        <f aca="false">Algae_yield_cost_factor/H196</f>
        <v>0.0914007411221693</v>
      </c>
      <c r="BA196" s="18" t="n">
        <f aca="false">Algae_yield_cost_factor/I196</f>
        <v>0.0914007411221693</v>
      </c>
      <c r="BB196" s="18" t="n">
        <f aca="false">Algae_yield_cost_factor/J196</f>
        <v>0.0914007411221693</v>
      </c>
      <c r="BC196" s="18" t="n">
        <f aca="false">Algae_yield_cost_factor/K196</f>
        <v>0.0914007411221693</v>
      </c>
      <c r="BD196" s="18" t="n">
        <f aca="false">Algae_yield_cost_factor/L196</f>
        <v>0.0914007411221693</v>
      </c>
      <c r="BE196" s="18" t="n">
        <f aca="false">Algae_yield_cost_factor/M196</f>
        <v>0.0872622525973009</v>
      </c>
      <c r="BF196" s="18" t="n">
        <f aca="false">Algae_yield_cost_factor/N196</f>
        <v>0.0849561241616107</v>
      </c>
      <c r="BG196" s="18" t="n">
        <f aca="false">Algae_yield_cost_factor/O196</f>
        <v>0.0816659243142711</v>
      </c>
      <c r="BH196" s="18" t="n">
        <f aca="false">Algae_yield_cost_factor/P196</f>
        <v>0.0772993641307238</v>
      </c>
      <c r="BI196" s="18" t="n">
        <f aca="false">Algae_yield_cost_factor/Q196</f>
        <v>0.0720291256813807</v>
      </c>
      <c r="BJ196" s="18" t="n">
        <f aca="false">Algae_yield_cost_factor/R196</f>
        <v>0.0663506662216464</v>
      </c>
      <c r="BK196" s="18" t="n">
        <f aca="false">Algae_yield_cost_factor/S196</f>
        <v>0.0609338274147795</v>
      </c>
      <c r="BL196" s="18" t="n">
        <f aca="false">Algae_yield_cost_factor/T196</f>
        <v>0.0563346885585497</v>
      </c>
      <c r="BM196" s="18" t="n">
        <f aca="false">Algae_yield_cost_factor/U196</f>
        <v>0.0528004899721566</v>
      </c>
      <c r="BN196" s="18" t="n">
        <f aca="false">Algae_yield_cost_factor/V196</f>
        <v>0.050287205459432</v>
      </c>
      <c r="BO196" s="18" t="n">
        <f aca="false">Algae_yield_cost_factor/W196</f>
        <v>0.0485968115286726</v>
      </c>
      <c r="BP196" s="18" t="n">
        <f aca="false">Algae_yield_cost_factor/X196</f>
        <v>0.0475020812775528</v>
      </c>
      <c r="BQ196" s="18" t="n">
        <f aca="false">Algae_yield_cost_factor/Y196</f>
        <v>0.0468103821855472</v>
      </c>
      <c r="BR196" s="18" t="n">
        <f aca="false">Algae_yield_cost_factor/Z196</f>
        <v>0.0463801229948351</v>
      </c>
      <c r="BS196" s="18" t="n">
        <f aca="false">Algae_yield_cost_factor/AA196</f>
        <v>0.046115088392206</v>
      </c>
      <c r="BT196" s="18" t="n">
        <f aca="false">Algae_yield_cost_factor/AB196</f>
        <v>0.0459528110102266</v>
      </c>
      <c r="BU196" s="18" t="n">
        <f aca="false">Algae_yield_cost_factor/AC196</f>
        <v>0.0458538169416346</v>
      </c>
    </row>
    <row r="197" customFormat="false" ht="15" hidden="false" customHeight="false" outlineLevel="0" collapsed="false">
      <c r="A197" s="18" t="s">
        <v>717</v>
      </c>
      <c r="B197" s="18" t="s">
        <v>22</v>
      </c>
      <c r="C197" s="18" t="s">
        <v>693</v>
      </c>
      <c r="D197" s="18" t="s">
        <v>693</v>
      </c>
      <c r="E197" s="185" t="n">
        <v>8.448</v>
      </c>
      <c r="F197" s="18" t="n">
        <f aca="false">E197/$B$2*$F$3/1000</f>
        <v>0.0206976</v>
      </c>
      <c r="G197" s="18" t="n">
        <f aca="false">LOOKUP(RIGHT(D197,5),Ref!$C$4:$C$21,Ref!$E$4:$E$21)*$G$3</f>
        <v>3</v>
      </c>
      <c r="H197" s="222" t="n">
        <f aca="false">$E197</f>
        <v>8.448</v>
      </c>
      <c r="I197" s="185" t="n">
        <f aca="false">$E197</f>
        <v>8.448</v>
      </c>
      <c r="J197" s="185" t="n">
        <f aca="false">$E197</f>
        <v>8.448</v>
      </c>
      <c r="K197" s="185" t="n">
        <f aca="false">$E197</f>
        <v>8.448</v>
      </c>
      <c r="L197" s="185" t="n">
        <f aca="false">$E197</f>
        <v>8.448</v>
      </c>
      <c r="M197" s="185" t="n">
        <f aca="false">M$3*$E197</f>
        <v>8.84865377660409</v>
      </c>
      <c r="N197" s="185" t="n">
        <f aca="false">N$3*$E197</f>
        <v>9.08884990481947</v>
      </c>
      <c r="O197" s="185" t="n">
        <f aca="false">O$3*$E197</f>
        <v>9.45502628524285</v>
      </c>
      <c r="P197" s="185" t="n">
        <f aca="false">P$3*$E197</f>
        <v>9.9891308251161</v>
      </c>
      <c r="Q197" s="185" t="n">
        <f aca="false">Q$3*$E197</f>
        <v>10.7200171277337</v>
      </c>
      <c r="R197" s="185" t="n">
        <f aca="false">R$3*$E197</f>
        <v>11.6374635700067</v>
      </c>
      <c r="S197" s="185" t="n">
        <f aca="false">S$3*$E197</f>
        <v>12.672</v>
      </c>
      <c r="T197" s="185" t="n">
        <f aca="false">T$3*$E197</f>
        <v>13.7065364299933</v>
      </c>
      <c r="U197" s="185" t="n">
        <f aca="false">U$3*$E197</f>
        <v>14.6239828722663</v>
      </c>
      <c r="V197" s="185" t="n">
        <f aca="false">V$3*$E197</f>
        <v>15.3548691748839</v>
      </c>
      <c r="W197" s="185" t="n">
        <f aca="false">W$3*$E197</f>
        <v>15.8889737147571</v>
      </c>
      <c r="X197" s="185" t="n">
        <f aca="false">X$3*$E197</f>
        <v>16.2551500951805</v>
      </c>
      <c r="Y197" s="185" t="n">
        <f aca="false">Y$3*$E197</f>
        <v>16.4953462233959</v>
      </c>
      <c r="Z197" s="185" t="n">
        <f aca="false">Z$3*$E197</f>
        <v>16.6483702746125</v>
      </c>
      <c r="AA197" s="185" t="n">
        <f aca="false">AA$3*$E197</f>
        <v>16.7440524982403</v>
      </c>
      <c r="AB197" s="185" t="n">
        <f aca="false">AB$3*$E197</f>
        <v>16.8031823086568</v>
      </c>
      <c r="AC197" s="185" t="n">
        <f aca="false">AC$3*$E197</f>
        <v>16.8394587953916</v>
      </c>
      <c r="AD197" s="219" t="n">
        <f aca="false">Algae_electricity_factor/H197</f>
        <v>0.00162684624805034</v>
      </c>
      <c r="AE197" s="220" t="n">
        <f aca="false">Algae_electricity_factor/I197</f>
        <v>0.00162684624805034</v>
      </c>
      <c r="AF197" s="220" t="n">
        <f aca="false">Algae_electricity_factor/J197</f>
        <v>0.00162684624805034</v>
      </c>
      <c r="AG197" s="220" t="n">
        <f aca="false">Algae_electricity_factor/K197</f>
        <v>0.00162684624805034</v>
      </c>
      <c r="AH197" s="220" t="n">
        <f aca="false">Algae_electricity_factor/L197</f>
        <v>0.00162684624805034</v>
      </c>
      <c r="AI197" s="220" t="n">
        <f aca="false">Algae_electricity_factor/M197</f>
        <v>0.00155318508899822</v>
      </c>
      <c r="AJ197" s="220" t="n">
        <f aca="false">Algae_electricity_factor/N197</f>
        <v>0.0015121381965216</v>
      </c>
      <c r="AK197" s="220" t="n">
        <f aca="false">Algae_electricity_factor/O197</f>
        <v>0.00145357576900446</v>
      </c>
      <c r="AL197" s="220" t="n">
        <f aca="false">Algae_electricity_factor/P197</f>
        <v>0.00137585515137845</v>
      </c>
      <c r="AM197" s="220" t="n">
        <f aca="false">Algae_electricity_factor/Q197</f>
        <v>0.00128204992023504</v>
      </c>
      <c r="AN197" s="220" t="n">
        <f aca="false">Algae_electricity_factor/R197</f>
        <v>0.00118097874342229</v>
      </c>
      <c r="AO197" s="220" t="n">
        <f aca="false">Algae_electricity_factor/S197</f>
        <v>0.00108456416536689</v>
      </c>
      <c r="AP197" s="220" t="n">
        <f aca="false">Algae_electricity_factor/T197</f>
        <v>0.00100270386860497</v>
      </c>
      <c r="AQ197" s="220" t="n">
        <f aca="false">Algae_electricity_factor/U197</f>
        <v>0.000939798495633728</v>
      </c>
      <c r="AR197" s="220" t="n">
        <f aca="false">Algae_electricity_factor/V197</f>
        <v>0.000895064422040781</v>
      </c>
      <c r="AS197" s="220" t="n">
        <f aca="false">Algae_electricity_factor/W197</f>
        <v>0.000864977018041427</v>
      </c>
      <c r="AT197" s="220" t="n">
        <f aca="false">Algae_electricity_factor/X197</f>
        <v>0.000845491860921301</v>
      </c>
      <c r="AU197" s="220" t="n">
        <f aca="false">Algae_electricity_factor/Y197</f>
        <v>0.000833180275054563</v>
      </c>
      <c r="AV197" s="220" t="n">
        <f aca="false">Algae_electricity_factor/Z197</f>
        <v>0.00082552207073909</v>
      </c>
      <c r="AW197" s="220" t="n">
        <f aca="false">Algae_electricity_factor/AA197</f>
        <v>0.000820804706923468</v>
      </c>
      <c r="AX197" s="220" t="n">
        <f aca="false">Algae_electricity_factor/AB197</f>
        <v>0.000817916323888765</v>
      </c>
      <c r="AY197" s="220" t="n">
        <f aca="false">Algae_electricity_factor/AC197</f>
        <v>0.000816154323634818</v>
      </c>
      <c r="AZ197" s="211" t="n">
        <f aca="false">Algae_yield_cost_factor/H197</f>
        <v>0.0900618630783875</v>
      </c>
      <c r="BA197" s="18" t="n">
        <f aca="false">Algae_yield_cost_factor/I197</f>
        <v>0.0900618630783875</v>
      </c>
      <c r="BB197" s="18" t="n">
        <f aca="false">Algae_yield_cost_factor/J197</f>
        <v>0.0900618630783875</v>
      </c>
      <c r="BC197" s="18" t="n">
        <f aca="false">Algae_yield_cost_factor/K197</f>
        <v>0.0900618630783875</v>
      </c>
      <c r="BD197" s="18" t="n">
        <f aca="false">Algae_yield_cost_factor/L197</f>
        <v>0.0900618630783875</v>
      </c>
      <c r="BE197" s="18" t="n">
        <f aca="false">Algae_yield_cost_factor/M197</f>
        <v>0.0859839969440201</v>
      </c>
      <c r="BF197" s="18" t="n">
        <f aca="false">Algae_yield_cost_factor/N197</f>
        <v>0.0837116496865871</v>
      </c>
      <c r="BG197" s="18" t="n">
        <f aca="false">Algae_yield_cost_factor/O197</f>
        <v>0.0804696461260738</v>
      </c>
      <c r="BH197" s="18" t="n">
        <f aca="false">Algae_yield_cost_factor/P197</f>
        <v>0.0761670492264651</v>
      </c>
      <c r="BI197" s="18" t="n">
        <f aca="false">Algae_yield_cost_factor/Q197</f>
        <v>0.0709740115356574</v>
      </c>
      <c r="BJ197" s="18" t="n">
        <f aca="false">Algae_yield_cost_factor/R197</f>
        <v>0.0653787326344152</v>
      </c>
      <c r="BK197" s="18" t="n">
        <f aca="false">Algae_yield_cost_factor/S197</f>
        <v>0.0600412420522583</v>
      </c>
      <c r="BL197" s="18" t="n">
        <f aca="false">Algae_yield_cost_factor/T197</f>
        <v>0.0555094733941178</v>
      </c>
      <c r="BM197" s="18" t="n">
        <f aca="false">Algae_yield_cost_factor/U197</f>
        <v>0.0520270452948301</v>
      </c>
      <c r="BN197" s="18" t="n">
        <f aca="false">Algae_yield_cost_factor/V197</f>
        <v>0.0495505764732099</v>
      </c>
      <c r="BO197" s="18" t="n">
        <f aca="false">Algae_yield_cost_factor/W197</f>
        <v>0.0478849441722956</v>
      </c>
      <c r="BP197" s="18" t="n">
        <f aca="false">Algae_yield_cost_factor/X197</f>
        <v>0.0468062500088387</v>
      </c>
      <c r="BQ197" s="18" t="n">
        <f aca="false">Algae_yield_cost_factor/Y197</f>
        <v>0.0461246832277511</v>
      </c>
      <c r="BR197" s="18" t="n">
        <f aca="false">Algae_yield_cost_factor/Z197</f>
        <v>0.0457007266619029</v>
      </c>
      <c r="BS197" s="18" t="n">
        <f aca="false">Algae_yield_cost_factor/AA197</f>
        <v>0.0454395744020858</v>
      </c>
      <c r="BT197" s="18" t="n">
        <f aca="false">Algae_yield_cost_factor/AB197</f>
        <v>0.045279674130194</v>
      </c>
      <c r="BU197" s="18" t="n">
        <f aca="false">Algae_yield_cost_factor/AC197</f>
        <v>0.0451821301700286</v>
      </c>
    </row>
    <row r="198" customFormat="false" ht="15" hidden="false" customHeight="false" outlineLevel="0" collapsed="false">
      <c r="A198" s="18" t="s">
        <v>717</v>
      </c>
      <c r="B198" s="18" t="s">
        <v>22</v>
      </c>
      <c r="C198" s="18" t="s">
        <v>694</v>
      </c>
      <c r="D198" s="18" t="s">
        <v>694</v>
      </c>
      <c r="E198" s="185" t="n">
        <v>8.184</v>
      </c>
      <c r="F198" s="18" t="n">
        <f aca="false">E198/$B$2*$F$3/1000</f>
        <v>0.0200508</v>
      </c>
      <c r="G198" s="18" t="n">
        <f aca="false">LOOKUP(RIGHT(D198,5),Ref!$C$4:$C$21,Ref!$E$4:$E$21)*$G$3</f>
        <v>3</v>
      </c>
      <c r="H198" s="222" t="n">
        <f aca="false">$E198</f>
        <v>8.184</v>
      </c>
      <c r="I198" s="185" t="n">
        <f aca="false">$E198</f>
        <v>8.184</v>
      </c>
      <c r="J198" s="185" t="n">
        <f aca="false">$E198</f>
        <v>8.184</v>
      </c>
      <c r="K198" s="185" t="n">
        <f aca="false">$E198</f>
        <v>8.184</v>
      </c>
      <c r="L198" s="185" t="n">
        <f aca="false">$E198</f>
        <v>8.184</v>
      </c>
      <c r="M198" s="185" t="n">
        <f aca="false">M$3*$E198</f>
        <v>8.57213334608521</v>
      </c>
      <c r="N198" s="185" t="n">
        <f aca="false">N$3*$E198</f>
        <v>8.80482334529386</v>
      </c>
      <c r="O198" s="185" t="n">
        <f aca="false">O$3*$E198</f>
        <v>9.15955671382901</v>
      </c>
      <c r="P198" s="185" t="n">
        <f aca="false">P$3*$E198</f>
        <v>9.67697048683122</v>
      </c>
      <c r="Q198" s="185" t="n">
        <f aca="false">Q$3*$E198</f>
        <v>10.385016592492</v>
      </c>
      <c r="R198" s="185" t="n">
        <f aca="false">R$3*$E198</f>
        <v>11.273792833444</v>
      </c>
      <c r="S198" s="185" t="n">
        <f aca="false">S$3*$E198</f>
        <v>12.276</v>
      </c>
      <c r="T198" s="185" t="n">
        <f aca="false">T$3*$E198</f>
        <v>13.278207166556</v>
      </c>
      <c r="U198" s="185" t="n">
        <f aca="false">U$3*$E198</f>
        <v>14.166983407508</v>
      </c>
      <c r="V198" s="185" t="n">
        <f aca="false">V$3*$E198</f>
        <v>14.8750295131688</v>
      </c>
      <c r="W198" s="185" t="n">
        <f aca="false">W$3*$E198</f>
        <v>15.392443286171</v>
      </c>
      <c r="X198" s="185" t="n">
        <f aca="false">X$3*$E198</f>
        <v>15.7471766547061</v>
      </c>
      <c r="Y198" s="185" t="n">
        <f aca="false">Y$3*$E198</f>
        <v>15.9798666539148</v>
      </c>
      <c r="Z198" s="185" t="n">
        <f aca="false">Z$3*$E198</f>
        <v>16.1281087035309</v>
      </c>
      <c r="AA198" s="185" t="n">
        <f aca="false">AA$3*$E198</f>
        <v>16.2208008576702</v>
      </c>
      <c r="AB198" s="185" t="n">
        <f aca="false">AB$3*$E198</f>
        <v>16.2780828615112</v>
      </c>
      <c r="AC198" s="185" t="n">
        <f aca="false">AC$3*$E198</f>
        <v>16.3132257080357</v>
      </c>
      <c r="AD198" s="219" t="n">
        <f aca="false">Algae_electricity_factor/H198</f>
        <v>0.00167932515927777</v>
      </c>
      <c r="AE198" s="220" t="n">
        <f aca="false">Algae_electricity_factor/I198</f>
        <v>0.00167932515927777</v>
      </c>
      <c r="AF198" s="220" t="n">
        <f aca="false">Algae_electricity_factor/J198</f>
        <v>0.00167932515927777</v>
      </c>
      <c r="AG198" s="220" t="n">
        <f aca="false">Algae_electricity_factor/K198</f>
        <v>0.00167932515927777</v>
      </c>
      <c r="AH198" s="220" t="n">
        <f aca="false">Algae_electricity_factor/L198</f>
        <v>0.00167932515927777</v>
      </c>
      <c r="AI198" s="220" t="n">
        <f aca="false">Algae_electricity_factor/M198</f>
        <v>0.00160328783380462</v>
      </c>
      <c r="AJ198" s="220" t="n">
        <f aca="false">Algae_electricity_factor/N198</f>
        <v>0.0015609168480223</v>
      </c>
      <c r="AK198" s="220" t="n">
        <f aca="false">Algae_electricity_factor/O198</f>
        <v>0.00150046530994009</v>
      </c>
      <c r="AL198" s="220" t="n">
        <f aca="false">Algae_electricity_factor/P198</f>
        <v>0.00142023757561647</v>
      </c>
      <c r="AM198" s="220" t="n">
        <f aca="false">Algae_electricity_factor/Q198</f>
        <v>0.00132340636927488</v>
      </c>
      <c r="AN198" s="220" t="n">
        <f aca="false">Algae_electricity_factor/R198</f>
        <v>0.00121907483191979</v>
      </c>
      <c r="AO198" s="220" t="n">
        <f aca="false">Algae_electricity_factor/S198</f>
        <v>0.00111955010618518</v>
      </c>
      <c r="AP198" s="220" t="n">
        <f aca="false">Algae_electricity_factor/T198</f>
        <v>0.00103504915468901</v>
      </c>
      <c r="AQ198" s="220" t="n">
        <f aca="false">Algae_electricity_factor/U198</f>
        <v>0.000970114576138042</v>
      </c>
      <c r="AR198" s="220" t="n">
        <f aca="false">Algae_electricity_factor/V198</f>
        <v>0.000923937467913064</v>
      </c>
      <c r="AS198" s="220" t="n">
        <f aca="false">Algae_electricity_factor/W198</f>
        <v>0.000892879502494377</v>
      </c>
      <c r="AT198" s="220" t="n">
        <f aca="false">Algae_electricity_factor/X198</f>
        <v>0.000872765791918763</v>
      </c>
      <c r="AU198" s="220" t="n">
        <f aca="false">Algae_electricity_factor/Y198</f>
        <v>0.000860057058120839</v>
      </c>
      <c r="AV198" s="220" t="n">
        <f aca="false">Algae_electricity_factor/Z198</f>
        <v>0.00085215181495648</v>
      </c>
      <c r="AW198" s="220" t="n">
        <f aca="false">Algae_electricity_factor/AA198</f>
        <v>0.000847282278114548</v>
      </c>
      <c r="AX198" s="220" t="n">
        <f aca="false">Algae_electricity_factor/AB198</f>
        <v>0.000844300721433564</v>
      </c>
      <c r="AY198" s="220" t="n">
        <f aca="false">Algae_electricity_factor/AC198</f>
        <v>0.000842481882461748</v>
      </c>
      <c r="AZ198" s="211" t="n">
        <f aca="false">Algae_yield_cost_factor/H198</f>
        <v>0.0929670844680129</v>
      </c>
      <c r="BA198" s="18" t="n">
        <f aca="false">Algae_yield_cost_factor/I198</f>
        <v>0.0929670844680129</v>
      </c>
      <c r="BB198" s="18" t="n">
        <f aca="false">Algae_yield_cost_factor/J198</f>
        <v>0.0929670844680129</v>
      </c>
      <c r="BC198" s="18" t="n">
        <f aca="false">Algae_yield_cost_factor/K198</f>
        <v>0.0929670844680129</v>
      </c>
      <c r="BD198" s="18" t="n">
        <f aca="false">Algae_yield_cost_factor/L198</f>
        <v>0.0929670844680129</v>
      </c>
      <c r="BE198" s="18" t="n">
        <f aca="false">Algae_yield_cost_factor/M198</f>
        <v>0.088757674264795</v>
      </c>
      <c r="BF198" s="18" t="n">
        <f aca="false">Algae_yield_cost_factor/N198</f>
        <v>0.0864120254829287</v>
      </c>
      <c r="BG198" s="18" t="n">
        <f aca="false">Algae_yield_cost_factor/O198</f>
        <v>0.0830654411623987</v>
      </c>
      <c r="BH198" s="18" t="n">
        <f aca="false">Algae_yield_cost_factor/P198</f>
        <v>0.0786240508144156</v>
      </c>
      <c r="BI198" s="18" t="n">
        <f aca="false">Algae_yield_cost_factor/Q198</f>
        <v>0.0732634957787431</v>
      </c>
      <c r="BJ198" s="18" t="n">
        <f aca="false">Algae_yield_cost_factor/R198</f>
        <v>0.067487724009719</v>
      </c>
      <c r="BK198" s="18" t="n">
        <f aca="false">Algae_yield_cost_factor/S198</f>
        <v>0.0619780563120086</v>
      </c>
      <c r="BL198" s="18" t="n">
        <f aca="false">Algae_yield_cost_factor/T198</f>
        <v>0.0573001015681216</v>
      </c>
      <c r="BM198" s="18" t="n">
        <f aca="false">Algae_yield_cost_factor/U198</f>
        <v>0.0537053370785343</v>
      </c>
      <c r="BN198" s="18" t="n">
        <f aca="false">Algae_yield_cost_factor/V198</f>
        <v>0.0511489821658941</v>
      </c>
      <c r="BO198" s="18" t="n">
        <f aca="false">Algae_yield_cost_factor/W198</f>
        <v>0.0494296197907567</v>
      </c>
      <c r="BP198" s="18" t="n">
        <f aca="false">Algae_yield_cost_factor/X198</f>
        <v>0.0483161290413819</v>
      </c>
      <c r="BQ198" s="18" t="n">
        <f aca="false">Algae_yield_cost_factor/Y198</f>
        <v>0.047612576235098</v>
      </c>
      <c r="BR198" s="18" t="n">
        <f aca="false">Algae_yield_cost_factor/Z198</f>
        <v>0.0471749436509966</v>
      </c>
      <c r="BS198" s="18" t="n">
        <f aca="false">Algae_yield_cost_factor/AA198</f>
        <v>0.0469053671247337</v>
      </c>
      <c r="BT198" s="18" t="n">
        <f aca="false">Algae_yield_cost_factor/AB198</f>
        <v>0.0467403087795551</v>
      </c>
      <c r="BU198" s="18" t="n">
        <f aca="false">Algae_yield_cost_factor/AC198</f>
        <v>0.0466396182400295</v>
      </c>
    </row>
    <row r="199" customFormat="false" ht="15" hidden="false" customHeight="false" outlineLevel="0" collapsed="false">
      <c r="A199" s="18" t="s">
        <v>717</v>
      </c>
      <c r="B199" s="18" t="s">
        <v>22</v>
      </c>
      <c r="C199" s="18" t="s">
        <v>682</v>
      </c>
      <c r="D199" s="18" t="s">
        <v>682</v>
      </c>
      <c r="E199" s="185" t="n">
        <v>9.075</v>
      </c>
      <c r="F199" s="18" t="n">
        <f aca="false">E199/$B$2*$F$3/1000</f>
        <v>0.02223375</v>
      </c>
      <c r="G199" s="18" t="n">
        <f aca="false">LOOKUP(RIGHT(D199,5),Ref!$C$4:$C$21,Ref!$E$4:$E$21)*$G$3</f>
        <v>3</v>
      </c>
      <c r="H199" s="222" t="n">
        <f aca="false">$E199</f>
        <v>9.075</v>
      </c>
      <c r="I199" s="185" t="n">
        <f aca="false">$E199</f>
        <v>9.075</v>
      </c>
      <c r="J199" s="185" t="n">
        <f aca="false">$E199</f>
        <v>9.075</v>
      </c>
      <c r="K199" s="185" t="n">
        <f aca="false">$E199</f>
        <v>9.075</v>
      </c>
      <c r="L199" s="185" t="n">
        <f aca="false">$E199</f>
        <v>9.075</v>
      </c>
      <c r="M199" s="185" t="n">
        <f aca="false">M$3*$E199</f>
        <v>9.50538979908642</v>
      </c>
      <c r="N199" s="185" t="n">
        <f aca="false">N$3*$E199</f>
        <v>9.76341298369279</v>
      </c>
      <c r="O199" s="185" t="n">
        <f aca="false">O$3*$E199</f>
        <v>10.1567665173507</v>
      </c>
      <c r="P199" s="185" t="n">
        <f aca="false">P$3*$E199</f>
        <v>10.7305116285427</v>
      </c>
      <c r="Q199" s="185" t="n">
        <f aca="false">Q$3*$E199</f>
        <v>11.5156433989327</v>
      </c>
      <c r="R199" s="185" t="n">
        <f aca="false">R$3*$E199</f>
        <v>12.5011815693432</v>
      </c>
      <c r="S199" s="185" t="n">
        <f aca="false">S$3*$E199</f>
        <v>13.6125</v>
      </c>
      <c r="T199" s="185" t="n">
        <f aca="false">T$3*$E199</f>
        <v>14.7238184306568</v>
      </c>
      <c r="U199" s="185" t="n">
        <f aca="false">U$3*$E199</f>
        <v>15.7093566010673</v>
      </c>
      <c r="V199" s="185" t="n">
        <f aca="false">V$3*$E199</f>
        <v>16.4944883714573</v>
      </c>
      <c r="W199" s="185" t="n">
        <f aca="false">W$3*$E199</f>
        <v>17.0682334826493</v>
      </c>
      <c r="X199" s="185" t="n">
        <f aca="false">X$3*$E199</f>
        <v>17.4615870163072</v>
      </c>
      <c r="Y199" s="185" t="n">
        <f aca="false">Y$3*$E199</f>
        <v>17.7196102009136</v>
      </c>
      <c r="Z199" s="185" t="n">
        <f aca="false">Z$3*$E199</f>
        <v>17.8839915059314</v>
      </c>
      <c r="AA199" s="185" t="n">
        <f aca="false">AA$3*$E199</f>
        <v>17.986775144594</v>
      </c>
      <c r="AB199" s="185" t="n">
        <f aca="false">AB$3*$E199</f>
        <v>18.0502934956274</v>
      </c>
      <c r="AC199" s="185" t="n">
        <f aca="false">AC$3*$E199</f>
        <v>18.0892623778621</v>
      </c>
      <c r="AD199" s="219" t="n">
        <f aca="false">Algae_electricity_factor/H199</f>
        <v>0.00151444596182141</v>
      </c>
      <c r="AE199" s="220" t="n">
        <f aca="false">Algae_electricity_factor/I199</f>
        <v>0.00151444596182141</v>
      </c>
      <c r="AF199" s="220" t="n">
        <f aca="false">Algae_electricity_factor/J199</f>
        <v>0.00151444596182141</v>
      </c>
      <c r="AG199" s="220" t="n">
        <f aca="false">Algae_electricity_factor/K199</f>
        <v>0.00151444596182141</v>
      </c>
      <c r="AH199" s="220" t="n">
        <f aca="false">Algae_electricity_factor/L199</f>
        <v>0.00151444596182141</v>
      </c>
      <c r="AI199" s="220" t="n">
        <f aca="false">Algae_electricity_factor/M199</f>
        <v>0.00144587411921289</v>
      </c>
      <c r="AJ199" s="220" t="n">
        <f aca="false">Algae_electricity_factor/N199</f>
        <v>0.00140766319385284</v>
      </c>
      <c r="AK199" s="220" t="n">
        <f aca="false">Algae_electricity_factor/O199</f>
        <v>0.00135314689769142</v>
      </c>
      <c r="AL199" s="220" t="n">
        <f aca="false">Algae_electricity_factor/P199</f>
        <v>0.0012807960681923</v>
      </c>
      <c r="AM199" s="220" t="n">
        <f aca="false">Algae_electricity_factor/Q199</f>
        <v>0.00119347192574607</v>
      </c>
      <c r="AN199" s="220" t="n">
        <f aca="false">Algae_electricity_factor/R199</f>
        <v>0.00109938384842221</v>
      </c>
      <c r="AO199" s="220" t="n">
        <f aca="false">Algae_electricity_factor/S199</f>
        <v>0.00100963064121427</v>
      </c>
      <c r="AP199" s="220" t="n">
        <f aca="false">Algae_electricity_factor/T199</f>
        <v>0.000933426146774085</v>
      </c>
      <c r="AQ199" s="220" t="n">
        <f aca="false">Algae_electricity_factor/U199</f>
        <v>0.000874866963208125</v>
      </c>
      <c r="AR199" s="220" t="n">
        <f aca="false">Algae_electricity_factor/V199</f>
        <v>0.000833223607427054</v>
      </c>
      <c r="AS199" s="220" t="n">
        <f aca="false">Algae_electricity_factor/W199</f>
        <v>0.000805214969522201</v>
      </c>
      <c r="AT199" s="220" t="n">
        <f aca="false">Algae_electricity_factor/X199</f>
        <v>0.000787076059621284</v>
      </c>
      <c r="AU199" s="220" t="n">
        <f aca="false">Algae_electricity_factor/Y199</f>
        <v>0.00077561509241443</v>
      </c>
      <c r="AV199" s="220" t="n">
        <f aca="false">Algae_electricity_factor/Z199</f>
        <v>0.000768486000397116</v>
      </c>
      <c r="AW199" s="220" t="n">
        <f aca="false">Algae_electricity_factor/AA199</f>
        <v>0.000764094563536029</v>
      </c>
      <c r="AX199" s="220" t="n">
        <f aca="false">Algae_electricity_factor/AB199</f>
        <v>0.000761405741510996</v>
      </c>
      <c r="AY199" s="220" t="n">
        <f aca="false">Algae_electricity_factor/AC199</f>
        <v>0.000759765479456413</v>
      </c>
      <c r="AZ199" s="211" t="n">
        <f aca="false">Algae_yield_cost_factor/H199</f>
        <v>0.0838394070838807</v>
      </c>
      <c r="BA199" s="18" t="n">
        <f aca="false">Algae_yield_cost_factor/I199</f>
        <v>0.0838394070838807</v>
      </c>
      <c r="BB199" s="18" t="n">
        <f aca="false">Algae_yield_cost_factor/J199</f>
        <v>0.0838394070838807</v>
      </c>
      <c r="BC199" s="18" t="n">
        <f aca="false">Algae_yield_cost_factor/K199</f>
        <v>0.0838394070838807</v>
      </c>
      <c r="BD199" s="18" t="n">
        <f aca="false">Algae_yield_cost_factor/L199</f>
        <v>0.0838394070838807</v>
      </c>
      <c r="BE199" s="18" t="n">
        <f aca="false">Algae_yield_cost_factor/M199</f>
        <v>0.0800432844278878</v>
      </c>
      <c r="BF199" s="18" t="n">
        <f aca="false">Algae_yield_cost_factor/N199</f>
        <v>0.0779279357082411</v>
      </c>
      <c r="BG199" s="18" t="n">
        <f aca="false">Algae_yield_cost_factor/O199</f>
        <v>0.0749099251209996</v>
      </c>
      <c r="BH199" s="18" t="n">
        <f aca="false">Algae_yield_cost_factor/P199</f>
        <v>0.0709045985526366</v>
      </c>
      <c r="BI199" s="18" t="n">
        <f aca="false">Algae_yield_cost_factor/Q199</f>
        <v>0.0660703525568301</v>
      </c>
      <c r="BJ199" s="18" t="n">
        <f aca="false">Algae_yield_cost_factor/R199</f>
        <v>0.060861656561492</v>
      </c>
      <c r="BK199" s="18" t="n">
        <f aca="false">Algae_yield_cost_factor/S199</f>
        <v>0.0558929380559205</v>
      </c>
      <c r="BL199" s="18" t="n">
        <f aca="false">Algae_yield_cost_factor/T199</f>
        <v>0.0516742734141606</v>
      </c>
      <c r="BM199" s="18" t="n">
        <f aca="false">Algae_yield_cost_factor/U199</f>
        <v>0.0484324494380964</v>
      </c>
      <c r="BN199" s="18" t="n">
        <f aca="false">Algae_yield_cost_factor/V199</f>
        <v>0.0461270820986972</v>
      </c>
      <c r="BO199" s="18" t="n">
        <f aca="false">Algae_yield_cost_factor/W199</f>
        <v>0.0445765298476642</v>
      </c>
      <c r="BP199" s="18" t="n">
        <f aca="false">Algae_yield_cost_factor/X199</f>
        <v>0.0435723636445916</v>
      </c>
      <c r="BQ199" s="18" t="n">
        <f aca="false">Algae_yield_cost_factor/Y199</f>
        <v>0.0429378869320156</v>
      </c>
      <c r="BR199" s="18" t="n">
        <f aca="false">Algae_yield_cost_factor/Z199</f>
        <v>0.0425432219107169</v>
      </c>
      <c r="BS199" s="18" t="n">
        <f aca="false">Algae_yield_cost_factor/AA199</f>
        <v>0.0423001128979417</v>
      </c>
      <c r="BT199" s="18" t="n">
        <f aca="false">Algae_yield_cost_factor/AB199</f>
        <v>0.0421512602811987</v>
      </c>
      <c r="BU199" s="18" t="n">
        <f aca="false">Algae_yield_cost_factor/AC199</f>
        <v>0.0420604557219175</v>
      </c>
    </row>
    <row r="200" customFormat="false" ht="15" hidden="false" customHeight="false" outlineLevel="0" collapsed="false">
      <c r="A200" s="18" t="s">
        <v>717</v>
      </c>
      <c r="B200" s="18" t="s">
        <v>22</v>
      </c>
      <c r="C200" s="18" t="s">
        <v>683</v>
      </c>
      <c r="D200" s="18" t="s">
        <v>683</v>
      </c>
      <c r="E200" s="185" t="n">
        <v>7.74675</v>
      </c>
      <c r="F200" s="18" t="n">
        <f aca="false">E200/$B$2*$F$3/1000</f>
        <v>0.0189795375</v>
      </c>
      <c r="G200" s="18" t="n">
        <f aca="false">LOOKUP(RIGHT(D200,5),Ref!$C$4:$C$21,Ref!$E$4:$E$21)*$G$3</f>
        <v>3</v>
      </c>
      <c r="H200" s="222" t="n">
        <f aca="false">$E200</f>
        <v>7.74675</v>
      </c>
      <c r="I200" s="185" t="n">
        <f aca="false">$E200</f>
        <v>7.74675</v>
      </c>
      <c r="J200" s="185" t="n">
        <f aca="false">$E200</f>
        <v>7.74675</v>
      </c>
      <c r="K200" s="185" t="n">
        <f aca="false">$E200</f>
        <v>7.74675</v>
      </c>
      <c r="L200" s="185" t="n">
        <f aca="false">$E200</f>
        <v>7.74675</v>
      </c>
      <c r="M200" s="185" t="n">
        <f aca="false">M$3*$E200</f>
        <v>8.11414638303832</v>
      </c>
      <c r="N200" s="185" t="n">
        <f aca="false">N$3*$E200</f>
        <v>8.33440435607957</v>
      </c>
      <c r="O200" s="185" t="n">
        <f aca="false">O$3*$E200</f>
        <v>8.67018523617484</v>
      </c>
      <c r="P200" s="185" t="n">
        <f aca="false">P$3*$E200</f>
        <v>9.15995492654689</v>
      </c>
      <c r="Q200" s="185" t="n">
        <f aca="false">Q$3*$E200</f>
        <v>9.83017195599801</v>
      </c>
      <c r="R200" s="185" t="n">
        <f aca="false">R$3*$E200</f>
        <v>10.671463176012</v>
      </c>
      <c r="S200" s="185" t="n">
        <f aca="false">S$3*$E200</f>
        <v>11.620125</v>
      </c>
      <c r="T200" s="185" t="n">
        <f aca="false">T$3*$E200</f>
        <v>12.568786823988</v>
      </c>
      <c r="U200" s="185" t="n">
        <f aca="false">U$3*$E200</f>
        <v>13.410078044002</v>
      </c>
      <c r="V200" s="185" t="n">
        <f aca="false">V$3*$E200</f>
        <v>14.0802950734531</v>
      </c>
      <c r="W200" s="185" t="n">
        <f aca="false">W$3*$E200</f>
        <v>14.5700647638252</v>
      </c>
      <c r="X200" s="185" t="n">
        <f aca="false">X$3*$E200</f>
        <v>14.9058456439204</v>
      </c>
      <c r="Y200" s="185" t="n">
        <f aca="false">Y$3*$E200</f>
        <v>15.1261036169617</v>
      </c>
      <c r="Z200" s="185" t="n">
        <f aca="false">Z$3*$E200</f>
        <v>15.2664254764269</v>
      </c>
      <c r="AA200" s="185" t="n">
        <f aca="false">AA$3*$E200</f>
        <v>15.3541653279762</v>
      </c>
      <c r="AB200" s="185" t="n">
        <f aca="false">AB$3*$E200</f>
        <v>15.4083869021765</v>
      </c>
      <c r="AC200" s="185" t="n">
        <f aca="false">AC$3*$E200</f>
        <v>15.4416521571023</v>
      </c>
      <c r="AD200" s="219" t="n">
        <f aca="false">Algae_electricity_factor/H200</f>
        <v>0.00177411135037651</v>
      </c>
      <c r="AE200" s="220" t="n">
        <f aca="false">Algae_electricity_factor/I200</f>
        <v>0.00177411135037651</v>
      </c>
      <c r="AF200" s="220" t="n">
        <f aca="false">Algae_electricity_factor/J200</f>
        <v>0.00177411135037651</v>
      </c>
      <c r="AG200" s="220" t="n">
        <f aca="false">Algae_electricity_factor/K200</f>
        <v>0.00177411135037651</v>
      </c>
      <c r="AH200" s="220" t="n">
        <f aca="false">Algae_electricity_factor/L200</f>
        <v>0.00177411135037651</v>
      </c>
      <c r="AI200" s="220" t="n">
        <f aca="false">Algae_electricity_factor/M200</f>
        <v>0.00169378224827921</v>
      </c>
      <c r="AJ200" s="220" t="n">
        <f aca="false">Algae_electricity_factor/N200</f>
        <v>0.00164901971590854</v>
      </c>
      <c r="AK200" s="220" t="n">
        <f aca="false">Algae_electricity_factor/O200</f>
        <v>0.00158515611018165</v>
      </c>
      <c r="AL200" s="220" t="n">
        <f aca="false">Algae_electricity_factor/P200</f>
        <v>0.00150040007988449</v>
      </c>
      <c r="AM200" s="220" t="n">
        <f aca="false">Algae_electricity_factor/Q200</f>
        <v>0.00139810342739156</v>
      </c>
      <c r="AN200" s="220" t="n">
        <f aca="false">Algae_electricity_factor/R200</f>
        <v>0.00128788310251803</v>
      </c>
      <c r="AO200" s="220" t="n">
        <f aca="false">Algae_electricity_factor/S200</f>
        <v>0.00118274090025101</v>
      </c>
      <c r="AP200" s="220" t="n">
        <f aca="false">Algae_electricity_factor/T200</f>
        <v>0.00109347045947976</v>
      </c>
      <c r="AQ200" s="220" t="n">
        <f aca="false">Algae_electricity_factor/U200</f>
        <v>0.00102487077692113</v>
      </c>
      <c r="AR200" s="220" t="n">
        <f aca="false">Algae_electricity_factor/V200</f>
        <v>0.000976087293045537</v>
      </c>
      <c r="AS200" s="220" t="n">
        <f aca="false">Algae_electricity_factor/W200</f>
        <v>0.000943276322123985</v>
      </c>
      <c r="AT200" s="220" t="n">
        <f aca="false">Algae_electricity_factor/X200</f>
        <v>0.000922027332889683</v>
      </c>
      <c r="AU200" s="220" t="n">
        <f aca="false">Algae_electricity_factor/Y200</f>
        <v>0.000908601279718714</v>
      </c>
      <c r="AV200" s="220" t="n">
        <f aca="false">Algae_electricity_factor/Z200</f>
        <v>0.000900249840720797</v>
      </c>
      <c r="AW200" s="220" t="n">
        <f aca="false">Algae_electricity_factor/AA200</f>
        <v>0.000895105452491621</v>
      </c>
      <c r="AX200" s="220" t="n">
        <f aca="false">Algae_electricity_factor/AB200</f>
        <v>0.000891955607733861</v>
      </c>
      <c r="AY200" s="220" t="n">
        <f aca="false">Algae_electricity_factor/AC200</f>
        <v>0.000890034107989408</v>
      </c>
      <c r="AZ200" s="211" t="n">
        <f aca="false">Algae_yield_cost_factor/H200</f>
        <v>0.09821442789379</v>
      </c>
      <c r="BA200" s="18" t="n">
        <f aca="false">Algae_yield_cost_factor/I200</f>
        <v>0.09821442789379</v>
      </c>
      <c r="BB200" s="18" t="n">
        <f aca="false">Algae_yield_cost_factor/J200</f>
        <v>0.09821442789379</v>
      </c>
      <c r="BC200" s="18" t="n">
        <f aca="false">Algae_yield_cost_factor/K200</f>
        <v>0.09821442789379</v>
      </c>
      <c r="BD200" s="18" t="n">
        <f aca="false">Algae_yield_cost_factor/L200</f>
        <v>0.09821442789379</v>
      </c>
      <c r="BE200" s="18" t="n">
        <f aca="false">Algae_yield_cost_factor/M200</f>
        <v>0.0937674258473659</v>
      </c>
      <c r="BF200" s="18" t="n">
        <f aca="false">Algae_yield_cost_factor/N200</f>
        <v>0.0912893815538501</v>
      </c>
      <c r="BG200" s="18" t="n">
        <f aca="false">Algae_yield_cost_factor/O200</f>
        <v>0.0877539058925447</v>
      </c>
      <c r="BH200" s="18" t="n">
        <f aca="false">Algae_yield_cost_factor/P200</f>
        <v>0.0830618300403624</v>
      </c>
      <c r="BI200" s="18" t="n">
        <f aca="false">Algae_yield_cost_factor/Q200</f>
        <v>0.0773987090655092</v>
      </c>
      <c r="BJ200" s="18" t="n">
        <f aca="false">Algae_yield_cost_factor/R200</f>
        <v>0.0712969352690535</v>
      </c>
      <c r="BK200" s="18" t="n">
        <f aca="false">Algae_yield_cost_factor/S200</f>
        <v>0.0654762852625267</v>
      </c>
      <c r="BL200" s="18" t="n">
        <f aca="false">Algae_yield_cost_factor/T200</f>
        <v>0.060534292604448</v>
      </c>
      <c r="BM200" s="18" t="n">
        <f aca="false">Algae_yield_cost_factor/U200</f>
        <v>0.0567366287347242</v>
      </c>
      <c r="BN200" s="18" t="n">
        <f aca="false">Algae_yield_cost_factor/V200</f>
        <v>0.0540359854191341</v>
      </c>
      <c r="BO200" s="18" t="n">
        <f aca="false">Algae_yield_cost_factor/W200</f>
        <v>0.0522195770313426</v>
      </c>
      <c r="BP200" s="18" t="n">
        <f aca="false">Algae_yield_cost_factor/X200</f>
        <v>0.0510432374963267</v>
      </c>
      <c r="BQ200" s="18" t="n">
        <f aca="false">Algae_yield_cost_factor/Y200</f>
        <v>0.0502999740417648</v>
      </c>
      <c r="BR200" s="18" t="n">
        <f aca="false">Algae_yield_cost_factor/Z200</f>
        <v>0.0498376401509996</v>
      </c>
      <c r="BS200" s="18" t="n">
        <f aca="false">Algae_yield_cost_factor/AA200</f>
        <v>0.0495528479102618</v>
      </c>
      <c r="BT200" s="18" t="n">
        <f aca="false">Algae_yield_cost_factor/AB200</f>
        <v>0.0493784731728633</v>
      </c>
      <c r="BU200" s="18" t="n">
        <f aca="false">Algae_yield_cost_factor/AC200</f>
        <v>0.0492720993547489</v>
      </c>
    </row>
    <row r="201" customFormat="false" ht="15" hidden="false" customHeight="false" outlineLevel="0" collapsed="false">
      <c r="A201" s="18" t="s">
        <v>717</v>
      </c>
      <c r="B201" s="18" t="s">
        <v>22</v>
      </c>
      <c r="C201" s="18" t="s">
        <v>684</v>
      </c>
      <c r="D201" s="18" t="s">
        <v>684</v>
      </c>
      <c r="E201" s="185" t="n">
        <v>8.8935</v>
      </c>
      <c r="F201" s="18" t="n">
        <f aca="false">E201/$B$2*$F$3/1000</f>
        <v>0.021789075</v>
      </c>
      <c r="G201" s="18" t="n">
        <f aca="false">LOOKUP(RIGHT(D201,5),Ref!$C$4:$C$21,Ref!$E$4:$E$21)*$G$3</f>
        <v>3.5</v>
      </c>
      <c r="H201" s="222" t="n">
        <f aca="false">$E201</f>
        <v>8.8935</v>
      </c>
      <c r="I201" s="185" t="n">
        <f aca="false">$E201</f>
        <v>8.8935</v>
      </c>
      <c r="J201" s="185" t="n">
        <f aca="false">$E201</f>
        <v>8.8935</v>
      </c>
      <c r="K201" s="185" t="n">
        <f aca="false">$E201</f>
        <v>8.8935</v>
      </c>
      <c r="L201" s="185" t="n">
        <f aca="false">$E201</f>
        <v>8.8935</v>
      </c>
      <c r="M201" s="185" t="n">
        <f aca="false">M$3*$E201</f>
        <v>9.31528200310469</v>
      </c>
      <c r="N201" s="185" t="n">
        <f aca="false">N$3*$E201</f>
        <v>9.56814472401893</v>
      </c>
      <c r="O201" s="185" t="n">
        <f aca="false">O$3*$E201</f>
        <v>9.9536311870037</v>
      </c>
      <c r="P201" s="185" t="n">
        <f aca="false">P$3*$E201</f>
        <v>10.5159013959718</v>
      </c>
      <c r="Q201" s="185" t="n">
        <f aca="false">Q$3*$E201</f>
        <v>11.2853305309541</v>
      </c>
      <c r="R201" s="185" t="n">
        <f aca="false">R$3*$E201</f>
        <v>12.2511579379563</v>
      </c>
      <c r="S201" s="185" t="n">
        <f aca="false">S$3*$E201</f>
        <v>13.34025</v>
      </c>
      <c r="T201" s="185" t="n">
        <f aca="false">T$3*$E201</f>
        <v>14.4293420620437</v>
      </c>
      <c r="U201" s="185" t="n">
        <f aca="false">U$3*$E201</f>
        <v>15.395169469046</v>
      </c>
      <c r="V201" s="185" t="n">
        <f aca="false">V$3*$E201</f>
        <v>16.1645986040282</v>
      </c>
      <c r="W201" s="185" t="n">
        <f aca="false">W$3*$E201</f>
        <v>16.7268688129963</v>
      </c>
      <c r="X201" s="185" t="n">
        <f aca="false">X$3*$E201</f>
        <v>17.1123552759811</v>
      </c>
      <c r="Y201" s="185" t="n">
        <f aca="false">Y$3*$E201</f>
        <v>17.3652179968953</v>
      </c>
      <c r="Z201" s="185" t="n">
        <f aca="false">Z$3*$E201</f>
        <v>17.5263116758128</v>
      </c>
      <c r="AA201" s="185" t="n">
        <f aca="false">AA$3*$E201</f>
        <v>17.6270396417021</v>
      </c>
      <c r="AB201" s="185" t="n">
        <f aca="false">AB$3*$E201</f>
        <v>17.6892876257148</v>
      </c>
      <c r="AC201" s="185" t="n">
        <f aca="false">AC$3*$E201</f>
        <v>17.7274771303049</v>
      </c>
      <c r="AD201" s="219" t="n">
        <f aca="false">Algae_electricity_factor/H201</f>
        <v>0.00154535302226674</v>
      </c>
      <c r="AE201" s="220" t="n">
        <f aca="false">Algae_electricity_factor/I201</f>
        <v>0.00154535302226674</v>
      </c>
      <c r="AF201" s="220" t="n">
        <f aca="false">Algae_electricity_factor/J201</f>
        <v>0.00154535302226674</v>
      </c>
      <c r="AG201" s="220" t="n">
        <f aca="false">Algae_electricity_factor/K201</f>
        <v>0.00154535302226674</v>
      </c>
      <c r="AH201" s="220" t="n">
        <f aca="false">Algae_electricity_factor/L201</f>
        <v>0.00154535302226674</v>
      </c>
      <c r="AI201" s="220" t="n">
        <f aca="false">Algae_electricity_factor/M201</f>
        <v>0.00147538175429887</v>
      </c>
      <c r="AJ201" s="220" t="n">
        <f aca="false">Algae_electricity_factor/N201</f>
        <v>0.00143639101413555</v>
      </c>
      <c r="AK201" s="220" t="n">
        <f aca="false">Algae_electricity_factor/O201</f>
        <v>0.00138076214050145</v>
      </c>
      <c r="AL201" s="220" t="n">
        <f aca="false">Algae_electricity_factor/P201</f>
        <v>0.00130693476346153</v>
      </c>
      <c r="AM201" s="220" t="n">
        <f aca="false">Algae_electricity_factor/Q201</f>
        <v>0.00121782849565926</v>
      </c>
      <c r="AN201" s="220" t="n">
        <f aca="false">Algae_electricity_factor/R201</f>
        <v>0.00112182025349205</v>
      </c>
      <c r="AO201" s="220" t="n">
        <f aca="false">Algae_electricity_factor/S201</f>
        <v>0.00103023534817783</v>
      </c>
      <c r="AP201" s="220" t="n">
        <f aca="false">Algae_electricity_factor/T201</f>
        <v>0.000952475659973556</v>
      </c>
      <c r="AQ201" s="220" t="n">
        <f aca="false">Algae_electricity_factor/U201</f>
        <v>0.000892721391028699</v>
      </c>
      <c r="AR201" s="220" t="n">
        <f aca="false">Algae_electricity_factor/V201</f>
        <v>0.000850228170843933</v>
      </c>
      <c r="AS201" s="220" t="n">
        <f aca="false">Algae_electricity_factor/W201</f>
        <v>0.000821647928083879</v>
      </c>
      <c r="AT201" s="220" t="n">
        <f aca="false">Algae_electricity_factor/X201</f>
        <v>0.000803138836348249</v>
      </c>
      <c r="AU201" s="220" t="n">
        <f aca="false">Algae_electricity_factor/Y201</f>
        <v>0.000791443971851459</v>
      </c>
      <c r="AV201" s="220" t="n">
        <f aca="false">Algae_electricity_factor/Z201</f>
        <v>0.000784169388160323</v>
      </c>
      <c r="AW201" s="220" t="n">
        <f aca="false">Algae_electricity_factor/AA201</f>
        <v>0.000779688330138805</v>
      </c>
      <c r="AX201" s="220" t="n">
        <f aca="false">Algae_electricity_factor/AB201</f>
        <v>0.000776944634194894</v>
      </c>
      <c r="AY201" s="220" t="n">
        <f aca="false">Algae_electricity_factor/AC201</f>
        <v>0.000775270897404503</v>
      </c>
      <c r="AZ201" s="211" t="n">
        <f aca="false">Algae_yield_cost_factor/H201</f>
        <v>0.085550415391715</v>
      </c>
      <c r="BA201" s="18" t="n">
        <f aca="false">Algae_yield_cost_factor/I201</f>
        <v>0.085550415391715</v>
      </c>
      <c r="BB201" s="18" t="n">
        <f aca="false">Algae_yield_cost_factor/J201</f>
        <v>0.085550415391715</v>
      </c>
      <c r="BC201" s="18" t="n">
        <f aca="false">Algae_yield_cost_factor/K201</f>
        <v>0.085550415391715</v>
      </c>
      <c r="BD201" s="18" t="n">
        <f aca="false">Algae_yield_cost_factor/L201</f>
        <v>0.085550415391715</v>
      </c>
      <c r="BE201" s="18" t="n">
        <f aca="false">Algae_yield_cost_factor/M201</f>
        <v>0.0816768208447835</v>
      </c>
      <c r="BF201" s="18" t="n">
        <f aca="false">Algae_yield_cost_factor/N201</f>
        <v>0.0795183017431032</v>
      </c>
      <c r="BG201" s="18" t="n">
        <f aca="false">Algae_yield_cost_factor/O201</f>
        <v>0.0764386991030608</v>
      </c>
      <c r="BH201" s="18" t="n">
        <f aca="false">Algae_yield_cost_factor/P201</f>
        <v>0.0723516311761598</v>
      </c>
      <c r="BI201" s="18" t="n">
        <f aca="false">Algae_yield_cost_factor/Q201</f>
        <v>0.0674187270988063</v>
      </c>
      <c r="BJ201" s="18" t="n">
        <f aca="false">Algae_yield_cost_factor/R201</f>
        <v>0.0621037311851959</v>
      </c>
      <c r="BK201" s="18" t="n">
        <f aca="false">Algae_yield_cost_factor/S201</f>
        <v>0.0570336102611434</v>
      </c>
      <c r="BL201" s="18" t="n">
        <f aca="false">Algae_yield_cost_factor/T201</f>
        <v>0.0527288504226128</v>
      </c>
      <c r="BM201" s="18" t="n">
        <f aca="false">Algae_yield_cost_factor/U201</f>
        <v>0.0494208667735678</v>
      </c>
      <c r="BN201" s="18" t="n">
        <f aca="false">Algae_yield_cost_factor/V201</f>
        <v>0.0470684511211196</v>
      </c>
      <c r="BO201" s="18" t="n">
        <f aca="false">Algae_yield_cost_factor/W201</f>
        <v>0.0454862549465962</v>
      </c>
      <c r="BP201" s="18" t="n">
        <f aca="false">Algae_yield_cost_factor/X201</f>
        <v>0.0444615955557057</v>
      </c>
      <c r="BQ201" s="18" t="n">
        <f aca="false">Algae_yield_cost_factor/Y201</f>
        <v>0.0438141703387914</v>
      </c>
      <c r="BR201" s="18" t="n">
        <f aca="false">Algae_yield_cost_factor/Z201</f>
        <v>0.043411450929303</v>
      </c>
      <c r="BS201" s="18" t="n">
        <f aca="false">Algae_yield_cost_factor/AA201</f>
        <v>0.0431633805081037</v>
      </c>
      <c r="BT201" s="18" t="n">
        <f aca="false">Algae_yield_cost_factor/AB201</f>
        <v>0.0430114900828558</v>
      </c>
      <c r="BU201" s="18" t="n">
        <f aca="false">Algae_yield_cost_factor/AC201</f>
        <v>0.0429188323693036</v>
      </c>
    </row>
    <row r="202" customFormat="false" ht="15" hidden="false" customHeight="false" outlineLevel="0" collapsed="false">
      <c r="A202" s="18" t="s">
        <v>717</v>
      </c>
      <c r="B202" s="18" t="s">
        <v>22</v>
      </c>
      <c r="C202" s="18" t="s">
        <v>685</v>
      </c>
      <c r="D202" s="18" t="s">
        <v>685</v>
      </c>
      <c r="E202" s="185" t="n">
        <v>8.8275</v>
      </c>
      <c r="F202" s="18" t="n">
        <f aca="false">E202/$B$2*$F$3/1000</f>
        <v>0.021627375</v>
      </c>
      <c r="G202" s="18" t="n">
        <f aca="false">LOOKUP(RIGHT(D202,5),Ref!$C$4:$C$21,Ref!$E$4:$E$21)*$G$3</f>
        <v>4</v>
      </c>
      <c r="H202" s="222" t="n">
        <f aca="false">$E202</f>
        <v>8.8275</v>
      </c>
      <c r="I202" s="185" t="n">
        <f aca="false">$E202</f>
        <v>8.8275</v>
      </c>
      <c r="J202" s="185" t="n">
        <f aca="false">$E202</f>
        <v>8.8275</v>
      </c>
      <c r="K202" s="185" t="n">
        <f aca="false">$E202</f>
        <v>8.8275</v>
      </c>
      <c r="L202" s="185" t="n">
        <f aca="false">$E202</f>
        <v>8.8275</v>
      </c>
      <c r="M202" s="185" t="n">
        <f aca="false">M$3*$E202</f>
        <v>9.24615189547497</v>
      </c>
      <c r="N202" s="185" t="n">
        <f aca="false">N$3*$E202</f>
        <v>9.49713808413753</v>
      </c>
      <c r="O202" s="185" t="n">
        <f aca="false">O$3*$E202</f>
        <v>9.87976379415024</v>
      </c>
      <c r="P202" s="185" t="n">
        <f aca="false">P$3*$E202</f>
        <v>10.4378613114006</v>
      </c>
      <c r="Q202" s="185" t="n">
        <f aca="false">Q$3*$E202</f>
        <v>11.2015803971436</v>
      </c>
      <c r="R202" s="185" t="n">
        <f aca="false">R$3*$E202</f>
        <v>12.1602402538156</v>
      </c>
      <c r="S202" s="185" t="n">
        <f aca="false">S$3*$E202</f>
        <v>13.24125</v>
      </c>
      <c r="T202" s="185" t="n">
        <f aca="false">T$3*$E202</f>
        <v>14.3222597461844</v>
      </c>
      <c r="U202" s="185" t="n">
        <f aca="false">U$3*$E202</f>
        <v>15.2809196028564</v>
      </c>
      <c r="V202" s="185" t="n">
        <f aca="false">V$3*$E202</f>
        <v>16.0446386885994</v>
      </c>
      <c r="W202" s="185" t="n">
        <f aca="false">W$3*$E202</f>
        <v>16.6027362058498</v>
      </c>
      <c r="X202" s="185" t="n">
        <f aca="false">X$3*$E202</f>
        <v>16.9853619158625</v>
      </c>
      <c r="Y202" s="185" t="n">
        <f aca="false">Y$3*$E202</f>
        <v>17.236348104525</v>
      </c>
      <c r="Z202" s="185" t="n">
        <f aca="false">Z$3*$E202</f>
        <v>17.3962462830424</v>
      </c>
      <c r="AA202" s="185" t="n">
        <f aca="false">AA$3*$E202</f>
        <v>17.4962267315596</v>
      </c>
      <c r="AB202" s="185" t="n">
        <f aca="false">AB$3*$E202</f>
        <v>17.5580127639284</v>
      </c>
      <c r="AC202" s="185" t="n">
        <f aca="false">AC$3*$E202</f>
        <v>17.5959188584659</v>
      </c>
      <c r="AD202" s="219" t="n">
        <f aca="false">Algae_electricity_factor/H202</f>
        <v>0.00155690706355472</v>
      </c>
      <c r="AE202" s="220" t="n">
        <f aca="false">Algae_electricity_factor/I202</f>
        <v>0.00155690706355472</v>
      </c>
      <c r="AF202" s="220" t="n">
        <f aca="false">Algae_electricity_factor/J202</f>
        <v>0.00155690706355472</v>
      </c>
      <c r="AG202" s="220" t="n">
        <f aca="false">Algae_electricity_factor/K202</f>
        <v>0.00155690706355472</v>
      </c>
      <c r="AH202" s="220" t="n">
        <f aca="false">Algae_electricity_factor/L202</f>
        <v>0.00155690706355472</v>
      </c>
      <c r="AI202" s="220" t="n">
        <f aca="false">Algae_electricity_factor/M202</f>
        <v>0.00148641264591979</v>
      </c>
      <c r="AJ202" s="220" t="n">
        <f aca="false">Algae_electricity_factor/N202</f>
        <v>0.00144713038620385</v>
      </c>
      <c r="AK202" s="220" t="n">
        <f aca="false">Algae_electricity_factor/O202</f>
        <v>0.00139108559575754</v>
      </c>
      <c r="AL202" s="220" t="n">
        <f aca="false">Algae_electricity_factor/P202</f>
        <v>0.00131670623832854</v>
      </c>
      <c r="AM202" s="220" t="n">
        <f aca="false">Algae_electricity_factor/Q202</f>
        <v>0.00122693375543989</v>
      </c>
      <c r="AN202" s="220" t="n">
        <f aca="false">Algae_electricity_factor/R202</f>
        <v>0.00113020769463965</v>
      </c>
      <c r="AO202" s="220" t="n">
        <f aca="false">Algae_electricity_factor/S202</f>
        <v>0.00103793804236981</v>
      </c>
      <c r="AP202" s="220" t="n">
        <f aca="false">Algae_electricity_factor/T202</f>
        <v>0.000959596973319153</v>
      </c>
      <c r="AQ202" s="220" t="n">
        <f aca="false">Algae_electricity_factor/U202</f>
        <v>0.000899395943484988</v>
      </c>
      <c r="AR202" s="220" t="n">
        <f aca="false">Algae_electricity_factor/V202</f>
        <v>0.000856585016981084</v>
      </c>
      <c r="AS202" s="220" t="n">
        <f aca="false">Algae_electricity_factor/W202</f>
        <v>0.000827791090163011</v>
      </c>
      <c r="AT202" s="220" t="n">
        <f aca="false">Algae_electricity_factor/X202</f>
        <v>0.000809143612694778</v>
      </c>
      <c r="AU202" s="220" t="n">
        <f aca="false">Algae_electricity_factor/Y202</f>
        <v>0.000797361309958759</v>
      </c>
      <c r="AV202" s="220" t="n">
        <f aca="false">Algae_electricity_factor/Z202</f>
        <v>0.000790032336856849</v>
      </c>
      <c r="AW202" s="220" t="n">
        <f aca="false">Algae_electricity_factor/AA202</f>
        <v>0.000785517775597787</v>
      </c>
      <c r="AX202" s="220" t="n">
        <f aca="false">Algae_electricity_factor/AB202</f>
        <v>0.000782753566039341</v>
      </c>
      <c r="AY202" s="220" t="n">
        <f aca="false">Algae_electricity_factor/AC202</f>
        <v>0.000781067315329022</v>
      </c>
      <c r="AZ202" s="211" t="n">
        <f aca="false">Algae_yield_cost_factor/H202</f>
        <v>0.0861900446656718</v>
      </c>
      <c r="BA202" s="18" t="n">
        <f aca="false">Algae_yield_cost_factor/I202</f>
        <v>0.0861900446656718</v>
      </c>
      <c r="BB202" s="18" t="n">
        <f aca="false">Algae_yield_cost_factor/J202</f>
        <v>0.0861900446656718</v>
      </c>
      <c r="BC202" s="18" t="n">
        <f aca="false">Algae_yield_cost_factor/K202</f>
        <v>0.0861900446656718</v>
      </c>
      <c r="BD202" s="18" t="n">
        <f aca="false">Algae_yield_cost_factor/L202</f>
        <v>0.0861900446656718</v>
      </c>
      <c r="BE202" s="18" t="n">
        <f aca="false">Algae_yield_cost_factor/M202</f>
        <v>0.0822874886641838</v>
      </c>
      <c r="BF202" s="18" t="n">
        <f aca="false">Algae_yield_cost_factor/N202</f>
        <v>0.0801128311019301</v>
      </c>
      <c r="BG202" s="18" t="n">
        <f aca="false">Algae_yield_cost_factor/O202</f>
        <v>0.0770102033954201</v>
      </c>
      <c r="BH202" s="18" t="n">
        <f aca="false">Algae_yield_cost_factor/P202</f>
        <v>0.0728925779513086</v>
      </c>
      <c r="BI202" s="18" t="n">
        <f aca="false">Algae_yield_cost_factor/Q202</f>
        <v>0.0679227923481431</v>
      </c>
      <c r="BJ202" s="18" t="n">
        <f aca="false">Algae_yield_cost_factor/R202</f>
        <v>0.0625680581473282</v>
      </c>
      <c r="BK202" s="18" t="n">
        <f aca="false">Algae_yield_cost_factor/S202</f>
        <v>0.0574600297771145</v>
      </c>
      <c r="BL202" s="18" t="n">
        <f aca="false">Algae_yield_cost_factor/T202</f>
        <v>0.0531230848182959</v>
      </c>
      <c r="BM202" s="18" t="n">
        <f aca="false">Algae_yield_cost_factor/U202</f>
        <v>0.0497903685812206</v>
      </c>
      <c r="BN202" s="18" t="n">
        <f aca="false">Algae_yield_cost_factor/V202</f>
        <v>0.0474203647743616</v>
      </c>
      <c r="BO202" s="18" t="n">
        <f aca="false">Algae_yield_cost_factor/W202</f>
        <v>0.0458263390957296</v>
      </c>
      <c r="BP202" s="18" t="n">
        <f aca="false">Algae_yield_cost_factor/X202</f>
        <v>0.0447940187000475</v>
      </c>
      <c r="BQ202" s="18" t="n">
        <f aca="false">Algae_yield_cost_factor/Y202</f>
        <v>0.0441417529207637</v>
      </c>
      <c r="BR202" s="18" t="n">
        <f aca="false">Algae_yield_cost_factor/Z202</f>
        <v>0.0437360225250361</v>
      </c>
      <c r="BS202" s="18" t="n">
        <f aca="false">Algae_yield_cost_factor/AA202</f>
        <v>0.0434860973717157</v>
      </c>
      <c r="BT202" s="18" t="n">
        <f aca="false">Algae_yield_cost_factor/AB202</f>
        <v>0.0433330713171202</v>
      </c>
      <c r="BU202" s="18" t="n">
        <f aca="false">Algae_yield_cost_factor/AC202</f>
        <v>0.0432397208356161</v>
      </c>
    </row>
    <row r="203" customFormat="false" ht="15" hidden="false" customHeight="false" outlineLevel="0" collapsed="false">
      <c r="A203" s="18" t="s">
        <v>717</v>
      </c>
      <c r="B203" s="18" t="s">
        <v>22</v>
      </c>
      <c r="C203" s="18" t="s">
        <v>686</v>
      </c>
      <c r="D203" s="18" t="s">
        <v>686</v>
      </c>
      <c r="E203" s="185" t="n">
        <v>8.02725</v>
      </c>
      <c r="F203" s="18" t="n">
        <f aca="false">E203/$B$2*$F$3/1000</f>
        <v>0.0196667625</v>
      </c>
      <c r="G203" s="18" t="n">
        <f aca="false">LOOKUP(RIGHT(D203,5),Ref!$C$4:$C$21,Ref!$E$4:$E$21)*$G$3</f>
        <v>4.5</v>
      </c>
      <c r="H203" s="222" t="n">
        <f aca="false">$E203</f>
        <v>8.02725</v>
      </c>
      <c r="I203" s="185" t="n">
        <f aca="false">$E203</f>
        <v>8.02725</v>
      </c>
      <c r="J203" s="185" t="n">
        <f aca="false">$E203</f>
        <v>8.02725</v>
      </c>
      <c r="K203" s="185" t="n">
        <f aca="false">$E203</f>
        <v>8.02725</v>
      </c>
      <c r="L203" s="185" t="n">
        <f aca="false">$E203</f>
        <v>8.02725</v>
      </c>
      <c r="M203" s="185" t="n">
        <f aca="false">M$3*$E203</f>
        <v>8.40794934046462</v>
      </c>
      <c r="N203" s="185" t="n">
        <f aca="false">N$3*$E203</f>
        <v>8.63618257557553</v>
      </c>
      <c r="O203" s="185" t="n">
        <f aca="false">O$3*$E203</f>
        <v>8.98412165580204</v>
      </c>
      <c r="P203" s="185" t="n">
        <f aca="false">P$3*$E203</f>
        <v>9.49162528597457</v>
      </c>
      <c r="Q203" s="185" t="n">
        <f aca="false">Q$3*$E203</f>
        <v>10.1861100246923</v>
      </c>
      <c r="R203" s="185" t="n">
        <f aca="false">R$3*$E203</f>
        <v>11.0578633336099</v>
      </c>
      <c r="S203" s="185" t="n">
        <f aca="false">S$3*$E203</f>
        <v>12.040875</v>
      </c>
      <c r="T203" s="185" t="n">
        <f aca="false">T$3*$E203</f>
        <v>13.0238866663901</v>
      </c>
      <c r="U203" s="185" t="n">
        <f aca="false">U$3*$E203</f>
        <v>13.8956399753077</v>
      </c>
      <c r="V203" s="185" t="n">
        <f aca="false">V$3*$E203</f>
        <v>14.5901247140254</v>
      </c>
      <c r="W203" s="185" t="n">
        <f aca="false">W$3*$E203</f>
        <v>15.097628344198</v>
      </c>
      <c r="X203" s="185" t="n">
        <f aca="false">X$3*$E203</f>
        <v>15.4455674244245</v>
      </c>
      <c r="Y203" s="185" t="n">
        <f aca="false">Y$3*$E203</f>
        <v>15.6738006595354</v>
      </c>
      <c r="Z203" s="185" t="n">
        <f aca="false">Z$3*$E203</f>
        <v>15.8192033957012</v>
      </c>
      <c r="AA203" s="185" t="n">
        <f aca="false">AA$3*$E203</f>
        <v>15.9101201960818</v>
      </c>
      <c r="AB203" s="185" t="n">
        <f aca="false">AB$3*$E203</f>
        <v>15.9663050647686</v>
      </c>
      <c r="AC203" s="185" t="n">
        <f aca="false">AC$3*$E203</f>
        <v>16.000774812418</v>
      </c>
      <c r="AD203" s="219" t="n">
        <f aca="false">Algae_electricity_factor/H203</f>
        <v>0.00171211773689984</v>
      </c>
      <c r="AE203" s="220" t="n">
        <f aca="false">Algae_electricity_factor/I203</f>
        <v>0.00171211773689984</v>
      </c>
      <c r="AF203" s="220" t="n">
        <f aca="false">Algae_electricity_factor/J203</f>
        <v>0.00171211773689984</v>
      </c>
      <c r="AG203" s="220" t="n">
        <f aca="false">Algae_electricity_factor/K203</f>
        <v>0.00171211773689984</v>
      </c>
      <c r="AH203" s="220" t="n">
        <f aca="false">Algae_electricity_factor/L203</f>
        <v>0.00171211773689984</v>
      </c>
      <c r="AI203" s="220" t="n">
        <f aca="false">Algae_electricity_factor/M203</f>
        <v>0.00163459561267644</v>
      </c>
      <c r="AJ203" s="220" t="n">
        <f aca="false">Algae_electricity_factor/N203</f>
        <v>0.00159139723868255</v>
      </c>
      <c r="AK203" s="220" t="n">
        <f aca="false">Algae_electricity_factor/O203</f>
        <v>0.00152976524918866</v>
      </c>
      <c r="AL203" s="220" t="n">
        <f aca="false">Algae_electricity_factor/P203</f>
        <v>0.00144797088901494</v>
      </c>
      <c r="AM203" s="220" t="n">
        <f aca="false">Algae_electricity_factor/Q203</f>
        <v>0.00134924883691745</v>
      </c>
      <c r="AN203" s="220" t="n">
        <f aca="false">Algae_electricity_factor/R203</f>
        <v>0.00124287999307752</v>
      </c>
      <c r="AO203" s="220" t="n">
        <f aca="false">Algae_electricity_factor/S203</f>
        <v>0.00114141182459989</v>
      </c>
      <c r="AP203" s="220" t="n">
        <f aca="false">Algae_electricity_factor/T203</f>
        <v>0.00105526080313617</v>
      </c>
      <c r="AQ203" s="220" t="n">
        <f aca="false">Algae_electricity_factor/U203</f>
        <v>0.000989058231787192</v>
      </c>
      <c r="AR203" s="220" t="n">
        <f aca="false">Algae_electricity_factor/V203</f>
        <v>0.000941979412301911</v>
      </c>
      <c r="AS203" s="220" t="n">
        <f aca="false">Algae_electricity_factor/W203</f>
        <v>0.000910314970682859</v>
      </c>
      <c r="AT203" s="220" t="n">
        <f aca="false">Algae_electricity_factor/X203</f>
        <v>0.000889808494946981</v>
      </c>
      <c r="AU203" s="220" t="n">
        <f aca="false">Algae_electricity_factor/Y203</f>
        <v>0.000876851594713127</v>
      </c>
      <c r="AV203" s="220" t="n">
        <f aca="false">Algae_electricity_factor/Z203</f>
        <v>0.000868791984004962</v>
      </c>
      <c r="AW203" s="220" t="n">
        <f aca="false">Algae_electricity_factor/AA203</f>
        <v>0.00086382735857105</v>
      </c>
      <c r="AX203" s="220" t="n">
        <f aca="false">Algae_electricity_factor/AB203</f>
        <v>0.000860787580331033</v>
      </c>
      <c r="AY203" s="220" t="n">
        <f aca="false">Algae_electricity_factor/AC203</f>
        <v>0.000858933224462543</v>
      </c>
      <c r="AZ203" s="211" t="n">
        <f aca="false">Algae_yield_cost_factor/H203</f>
        <v>0.0947824746066483</v>
      </c>
      <c r="BA203" s="18" t="n">
        <f aca="false">Algae_yield_cost_factor/I203</f>
        <v>0.0947824746066483</v>
      </c>
      <c r="BB203" s="18" t="n">
        <f aca="false">Algae_yield_cost_factor/J203</f>
        <v>0.0947824746066483</v>
      </c>
      <c r="BC203" s="18" t="n">
        <f aca="false">Algae_yield_cost_factor/K203</f>
        <v>0.0947824746066483</v>
      </c>
      <c r="BD203" s="18" t="n">
        <f aca="false">Algae_yield_cost_factor/L203</f>
        <v>0.0947824746066483</v>
      </c>
      <c r="BE203" s="18" t="n">
        <f aca="false">Algae_yield_cost_factor/M203</f>
        <v>0.0904908662596882</v>
      </c>
      <c r="BF203" s="18" t="n">
        <f aca="false">Algae_yield_cost_factor/N203</f>
        <v>0.0880994134419992</v>
      </c>
      <c r="BG203" s="18" t="n">
        <f aca="false">Algae_yield_cost_factor/O203</f>
        <v>0.0846874795818084</v>
      </c>
      <c r="BH203" s="18" t="n">
        <f aca="false">Algae_yield_cost_factor/P203</f>
        <v>0.0801593611591986</v>
      </c>
      <c r="BI203" s="18" t="n">
        <f aca="false">Algae_yield_cost_factor/Q203</f>
        <v>0.0746941293037134</v>
      </c>
      <c r="BJ203" s="18" t="n">
        <f aca="false">Algae_yield_cost_factor/R203</f>
        <v>0.0688055726800013</v>
      </c>
      <c r="BK203" s="18" t="n">
        <f aca="false">Algae_yield_cost_factor/S203</f>
        <v>0.0631883164044322</v>
      </c>
      <c r="BL203" s="18" t="n">
        <f aca="false">Algae_yield_cost_factor/T203</f>
        <v>0.0584190141372833</v>
      </c>
      <c r="BM203" s="18" t="n">
        <f aca="false">Algae_yield_cost_factor/U203</f>
        <v>0.0547540538354636</v>
      </c>
      <c r="BN203" s="18" t="n">
        <f aca="false">Algae_yield_cost_factor/V203</f>
        <v>0.0521477803787944</v>
      </c>
      <c r="BO203" s="18" t="n">
        <f aca="false">Algae_yield_cost_factor/W203</f>
        <v>0.0503948436098979</v>
      </c>
      <c r="BP203" s="18" t="n">
        <f aca="false">Algae_yield_cost_factor/X203</f>
        <v>0.0492596094645949</v>
      </c>
      <c r="BQ203" s="18" t="n">
        <f aca="false">Algae_yield_cost_factor/Y203</f>
        <v>0.0485423182170783</v>
      </c>
      <c r="BR203" s="18" t="n">
        <f aca="false">Algae_yield_cost_factor/Z203</f>
        <v>0.0480961398785083</v>
      </c>
      <c r="BS203" s="18" t="n">
        <f aca="false">Algae_yield_cost_factor/AA203</f>
        <v>0.047821299267971</v>
      </c>
      <c r="BT203" s="18" t="n">
        <f aca="false">Algae_yield_cost_factor/AB203</f>
        <v>0.0476530177896389</v>
      </c>
      <c r="BU203" s="18" t="n">
        <f aca="false">Algae_yield_cost_factor/AC203</f>
        <v>0.04755036104225</v>
      </c>
    </row>
    <row r="204" customFormat="false" ht="15" hidden="false" customHeight="false" outlineLevel="0" collapsed="false">
      <c r="A204" s="18" t="s">
        <v>717</v>
      </c>
      <c r="B204" s="18" t="s">
        <v>22</v>
      </c>
      <c r="C204" s="18" t="s">
        <v>687</v>
      </c>
      <c r="D204" s="18" t="s">
        <v>687</v>
      </c>
      <c r="E204" s="185" t="n">
        <v>8.9595</v>
      </c>
      <c r="F204" s="18" t="n">
        <f aca="false">E204/$B$2*$F$3/1000</f>
        <v>0.021950775</v>
      </c>
      <c r="G204" s="18" t="n">
        <f aca="false">LOOKUP(RIGHT(D204,5),Ref!$C$4:$C$21,Ref!$E$4:$E$21)*$G$3</f>
        <v>4.5</v>
      </c>
      <c r="H204" s="222" t="n">
        <f aca="false">$E204</f>
        <v>8.9595</v>
      </c>
      <c r="I204" s="185" t="n">
        <f aca="false">$E204</f>
        <v>8.9595</v>
      </c>
      <c r="J204" s="185" t="n">
        <f aca="false">$E204</f>
        <v>8.9595</v>
      </c>
      <c r="K204" s="185" t="n">
        <f aca="false">$E204</f>
        <v>8.9595</v>
      </c>
      <c r="L204" s="185" t="n">
        <f aca="false">$E204</f>
        <v>8.9595</v>
      </c>
      <c r="M204" s="185" t="n">
        <f aca="false">M$3*$E204</f>
        <v>9.38441211073441</v>
      </c>
      <c r="N204" s="185" t="n">
        <f aca="false">N$3*$E204</f>
        <v>9.63915136390033</v>
      </c>
      <c r="O204" s="185" t="n">
        <f aca="false">O$3*$E204</f>
        <v>10.0274985798572</v>
      </c>
      <c r="P204" s="185" t="n">
        <f aca="false">P$3*$E204</f>
        <v>10.5939414805431</v>
      </c>
      <c r="Q204" s="185" t="n">
        <f aca="false">Q$3*$E204</f>
        <v>11.3690806647645</v>
      </c>
      <c r="R204" s="185" t="n">
        <f aca="false">R$3*$E204</f>
        <v>12.342075622097</v>
      </c>
      <c r="S204" s="185" t="n">
        <f aca="false">S$3*$E204</f>
        <v>13.43925</v>
      </c>
      <c r="T204" s="185" t="n">
        <f aca="false">T$3*$E204</f>
        <v>14.536424377903</v>
      </c>
      <c r="U204" s="185" t="n">
        <f aca="false">U$3*$E204</f>
        <v>15.5094193352355</v>
      </c>
      <c r="V204" s="185" t="n">
        <f aca="false">V$3*$E204</f>
        <v>16.284558519457</v>
      </c>
      <c r="W204" s="185" t="n">
        <f aca="false">W$3*$E204</f>
        <v>16.8510014201428</v>
      </c>
      <c r="X204" s="185" t="n">
        <f aca="false">X$3*$E204</f>
        <v>17.2393486360997</v>
      </c>
      <c r="Y204" s="185" t="n">
        <f aca="false">Y$3*$E204</f>
        <v>17.4940878892656</v>
      </c>
      <c r="Z204" s="185" t="n">
        <f aca="false">Z$3*$E204</f>
        <v>17.6563770685832</v>
      </c>
      <c r="AA204" s="185" t="n">
        <f aca="false">AA$3*$E204</f>
        <v>17.7578525518446</v>
      </c>
      <c r="AB204" s="185" t="n">
        <f aca="false">AB$3*$E204</f>
        <v>17.8205624875012</v>
      </c>
      <c r="AC204" s="185" t="n">
        <f aca="false">AC$3*$E204</f>
        <v>17.8590354021439</v>
      </c>
      <c r="AD204" s="219" t="n">
        <f aca="false">Algae_electricity_factor/H204</f>
        <v>0.00153396920626478</v>
      </c>
      <c r="AE204" s="220" t="n">
        <f aca="false">Algae_electricity_factor/I204</f>
        <v>0.00153396920626478</v>
      </c>
      <c r="AF204" s="220" t="n">
        <f aca="false">Algae_electricity_factor/J204</f>
        <v>0.00153396920626478</v>
      </c>
      <c r="AG204" s="220" t="n">
        <f aca="false">Algae_electricity_factor/K204</f>
        <v>0.00153396920626478</v>
      </c>
      <c r="AH204" s="220" t="n">
        <f aca="false">Algae_electricity_factor/L204</f>
        <v>0.00153396920626478</v>
      </c>
      <c r="AI204" s="220" t="n">
        <f aca="false">Algae_electricity_factor/M204</f>
        <v>0.00146451338041821</v>
      </c>
      <c r="AJ204" s="220" t="n">
        <f aca="false">Algae_electricity_factor/N204</f>
        <v>0.00142580986486015</v>
      </c>
      <c r="AK204" s="220" t="n">
        <f aca="false">Algae_electricity_factor/O204</f>
        <v>0.00137059078035043</v>
      </c>
      <c r="AL204" s="220" t="n">
        <f aca="false">Algae_electricity_factor/P204</f>
        <v>0.00129730725139184</v>
      </c>
      <c r="AM204" s="220" t="n">
        <f aca="false">Algae_electricity_factor/Q204</f>
        <v>0.00120885738335237</v>
      </c>
      <c r="AN204" s="220" t="n">
        <f aca="false">Algae_electricity_factor/R204</f>
        <v>0.00111355638422139</v>
      </c>
      <c r="AO204" s="220" t="n">
        <f aca="false">Algae_electricity_factor/S204</f>
        <v>0.00102264613750985</v>
      </c>
      <c r="AP204" s="220" t="n">
        <f aca="false">Algae_electricity_factor/T204</f>
        <v>0.0009454592646883</v>
      </c>
      <c r="AQ204" s="220" t="n">
        <f aca="false">Algae_electricity_factor/U204</f>
        <v>0.000886145174520201</v>
      </c>
      <c r="AR204" s="220" t="n">
        <f aca="false">Algae_electricity_factor/V204</f>
        <v>0.000843964979898489</v>
      </c>
      <c r="AS204" s="220" t="n">
        <f aca="false">Algae_electricity_factor/W204</f>
        <v>0.000815595272996705</v>
      </c>
      <c r="AT204" s="220" t="n">
        <f aca="false">Algae_electricity_factor/X204</f>
        <v>0.000797222528161522</v>
      </c>
      <c r="AU204" s="220" t="n">
        <f aca="false">Algae_electricity_factor/Y204</f>
        <v>0.000785613813679441</v>
      </c>
      <c r="AV204" s="220" t="n">
        <f aca="false">Algae_electricity_factor/Z204</f>
        <v>0.000778392818081794</v>
      </c>
      <c r="AW204" s="220" t="n">
        <f aca="false">Algae_electricity_factor/AA204</f>
        <v>0.000773944769695793</v>
      </c>
      <c r="AX204" s="220" t="n">
        <f aca="false">Algae_electricity_factor/AB204</f>
        <v>0.000771221285140051</v>
      </c>
      <c r="AY204" s="220" t="n">
        <f aca="false">Algae_electricity_factor/AC204</f>
        <v>0.000769559877902444</v>
      </c>
      <c r="AZ204" s="211" t="n">
        <f aca="false">Algae_yield_cost_factor/H204</f>
        <v>0.0849202097534704</v>
      </c>
      <c r="BA204" s="18" t="n">
        <f aca="false">Algae_yield_cost_factor/I204</f>
        <v>0.0849202097534704</v>
      </c>
      <c r="BB204" s="18" t="n">
        <f aca="false">Algae_yield_cost_factor/J204</f>
        <v>0.0849202097534704</v>
      </c>
      <c r="BC204" s="18" t="n">
        <f aca="false">Algae_yield_cost_factor/K204</f>
        <v>0.0849202097534704</v>
      </c>
      <c r="BD204" s="18" t="n">
        <f aca="false">Algae_yield_cost_factor/L204</f>
        <v>0.0849202097534704</v>
      </c>
      <c r="BE204" s="18" t="n">
        <f aca="false">Algae_yield_cost_factor/M204</f>
        <v>0.0810751499729987</v>
      </c>
      <c r="BF204" s="18" t="n">
        <f aca="false">Algae_yield_cost_factor/N204</f>
        <v>0.0789325315645168</v>
      </c>
      <c r="BG204" s="18" t="n">
        <f aca="false">Algae_yield_cost_factor/O204</f>
        <v>0.0758756147634434</v>
      </c>
      <c r="BH204" s="18" t="n">
        <f aca="false">Algae_yield_cost_factor/P204</f>
        <v>0.0718186541509211</v>
      </c>
      <c r="BI204" s="18" t="n">
        <f aca="false">Algae_yield_cost_factor/Q204</f>
        <v>0.0669220882251502</v>
      </c>
      <c r="BJ204" s="18" t="n">
        <f aca="false">Algae_yield_cost_factor/R204</f>
        <v>0.0616462451359496</v>
      </c>
      <c r="BK204" s="18" t="n">
        <f aca="false">Algae_yield_cost_factor/S204</f>
        <v>0.0566134731689802</v>
      </c>
      <c r="BL204" s="18" t="n">
        <f aca="false">Algae_yield_cost_factor/T204</f>
        <v>0.0523404242684868</v>
      </c>
      <c r="BM204" s="18" t="n">
        <f aca="false">Algae_yield_cost_factor/U204</f>
        <v>0.0490568088231179</v>
      </c>
      <c r="BN204" s="18" t="n">
        <f aca="false">Algae_yield_cost_factor/V204</f>
        <v>0.046721722199417</v>
      </c>
      <c r="BO204" s="18" t="n">
        <f aca="false">Algae_yield_cost_factor/W204</f>
        <v>0.0451511812453321</v>
      </c>
      <c r="BP204" s="18" t="n">
        <f aca="false">Algae_yield_cost_factor/X204</f>
        <v>0.0441340699899179</v>
      </c>
      <c r="BQ204" s="18" t="n">
        <f aca="false">Algae_yield_cost_factor/Y204</f>
        <v>0.043491414019537</v>
      </c>
      <c r="BR204" s="18" t="n">
        <f aca="false">Algae_yield_cost_factor/Z204</f>
        <v>0.0430916612355328</v>
      </c>
      <c r="BS204" s="18" t="n">
        <f aca="false">Algae_yield_cost_factor/AA204</f>
        <v>0.0428454182207512</v>
      </c>
      <c r="BT204" s="18" t="n">
        <f aca="false">Algae_yield_cost_factor/AB204</f>
        <v>0.0426946466936635</v>
      </c>
      <c r="BU204" s="18" t="n">
        <f aca="false">Algae_yield_cost_factor/AC204</f>
        <v>0.0426026715415371</v>
      </c>
    </row>
    <row r="205" customFormat="false" ht="15" hidden="false" customHeight="false" outlineLevel="0" collapsed="false">
      <c r="A205" s="18" t="s">
        <v>717</v>
      </c>
      <c r="B205" s="18" t="s">
        <v>22</v>
      </c>
      <c r="C205" s="18" t="s">
        <v>688</v>
      </c>
      <c r="D205" s="18" t="s">
        <v>688</v>
      </c>
      <c r="E205" s="185" t="n">
        <v>8.646</v>
      </c>
      <c r="F205" s="18" t="n">
        <f aca="false">E205/$B$2*$F$3/1000</f>
        <v>0.0211827</v>
      </c>
      <c r="G205" s="18" t="n">
        <f aca="false">LOOKUP(RIGHT(D205,5),Ref!$C$4:$C$21,Ref!$E$4:$E$21)*$G$3</f>
        <v>4.5</v>
      </c>
      <c r="H205" s="222" t="n">
        <f aca="false">$E205</f>
        <v>8.646</v>
      </c>
      <c r="I205" s="185" t="n">
        <f aca="false">$E205</f>
        <v>8.646</v>
      </c>
      <c r="J205" s="185" t="n">
        <f aca="false">$E205</f>
        <v>8.646</v>
      </c>
      <c r="K205" s="185" t="n">
        <f aca="false">$E205</f>
        <v>8.646</v>
      </c>
      <c r="L205" s="185" t="n">
        <f aca="false">$E205</f>
        <v>8.646</v>
      </c>
      <c r="M205" s="185" t="n">
        <f aca="false">M$3*$E205</f>
        <v>9.05604409949324</v>
      </c>
      <c r="N205" s="185" t="n">
        <f aca="false">N$3*$E205</f>
        <v>9.30186982446367</v>
      </c>
      <c r="O205" s="185" t="n">
        <f aca="false">O$3*$E205</f>
        <v>9.67662846380323</v>
      </c>
      <c r="P205" s="185" t="n">
        <f aca="false">P$3*$E205</f>
        <v>10.2232510788298</v>
      </c>
      <c r="Q205" s="185" t="n">
        <f aca="false">Q$3*$E205</f>
        <v>10.971267529165</v>
      </c>
      <c r="R205" s="185" t="n">
        <f aca="false">R$3*$E205</f>
        <v>11.9102166224288</v>
      </c>
      <c r="S205" s="185" t="n">
        <f aca="false">S$3*$E205</f>
        <v>12.969</v>
      </c>
      <c r="T205" s="185" t="n">
        <f aca="false">T$3*$E205</f>
        <v>14.0277833775712</v>
      </c>
      <c r="U205" s="185" t="n">
        <f aca="false">U$3*$E205</f>
        <v>14.966732470835</v>
      </c>
      <c r="V205" s="185" t="n">
        <f aca="false">V$3*$E205</f>
        <v>15.7147489211702</v>
      </c>
      <c r="W205" s="185" t="n">
        <f aca="false">W$3*$E205</f>
        <v>16.2613715361968</v>
      </c>
      <c r="X205" s="185" t="n">
        <f aca="false">X$3*$E205</f>
        <v>16.6361301755363</v>
      </c>
      <c r="Y205" s="185" t="n">
        <f aca="false">Y$3*$E205</f>
        <v>16.8819559005068</v>
      </c>
      <c r="Z205" s="185" t="n">
        <f aca="false">Z$3*$E205</f>
        <v>17.0385664529238</v>
      </c>
      <c r="AA205" s="185" t="n">
        <f aca="false">AA$3*$E205</f>
        <v>17.1364912286678</v>
      </c>
      <c r="AB205" s="185" t="n">
        <f aca="false">AB$3*$E205</f>
        <v>17.1970068940159</v>
      </c>
      <c r="AC205" s="185" t="n">
        <f aca="false">AC$3*$E205</f>
        <v>17.2341336109086</v>
      </c>
      <c r="AD205" s="219" t="n">
        <f aca="false">Algae_electricity_factor/H205</f>
        <v>0.00158959022710262</v>
      </c>
      <c r="AE205" s="220" t="n">
        <f aca="false">Algae_electricity_factor/I205</f>
        <v>0.00158959022710262</v>
      </c>
      <c r="AF205" s="220" t="n">
        <f aca="false">Algae_electricity_factor/J205</f>
        <v>0.00158959022710262</v>
      </c>
      <c r="AG205" s="220" t="n">
        <f aca="false">Algae_electricity_factor/K205</f>
        <v>0.00158959022710262</v>
      </c>
      <c r="AH205" s="220" t="n">
        <f aca="false">Algae_electricity_factor/L205</f>
        <v>0.00158959022710262</v>
      </c>
      <c r="AI205" s="220" t="n">
        <f aca="false">Algae_electricity_factor/M205</f>
        <v>0.00151761596482269</v>
      </c>
      <c r="AJ205" s="220" t="n">
        <f aca="false">Algae_electricity_factor/N205</f>
        <v>0.00147750907751729</v>
      </c>
      <c r="AK205" s="220" t="n">
        <f aca="false">Algae_electricity_factor/O205</f>
        <v>0.00142028777429443</v>
      </c>
      <c r="AL205" s="220" t="n">
        <f aca="false">Algae_electricity_factor/P205</f>
        <v>0.00134434701814078</v>
      </c>
      <c r="AM205" s="220" t="n">
        <f aca="false">Algae_electricity_factor/Q205</f>
        <v>0.00125268999839759</v>
      </c>
      <c r="AN205" s="220" t="n">
        <f aca="false">Algae_electricity_factor/R205</f>
        <v>0.00115393342868743</v>
      </c>
      <c r="AO205" s="220" t="n">
        <f aca="false">Algae_electricity_factor/S205</f>
        <v>0.00105972681806841</v>
      </c>
      <c r="AP205" s="220" t="n">
        <f aca="false">Algae_electricity_factor/T205</f>
        <v>0.00097974118459112</v>
      </c>
      <c r="AQ205" s="220" t="n">
        <f aca="false">Algae_electricity_factor/U205</f>
        <v>0.000918276392680284</v>
      </c>
      <c r="AR205" s="220" t="n">
        <f aca="false">Algae_electricity_factor/V205</f>
        <v>0.000874566763520763</v>
      </c>
      <c r="AS205" s="220" t="n">
        <f aca="false">Algae_electricity_factor/W205</f>
        <v>0.000845168384040478</v>
      </c>
      <c r="AT205" s="220" t="n">
        <f aca="false">Algae_electricity_factor/X205</f>
        <v>0.000826129451892569</v>
      </c>
      <c r="AU205" s="220" t="n">
        <f aca="false">Algae_electricity_factor/Y205</f>
        <v>0.000814099810740336</v>
      </c>
      <c r="AV205" s="220" t="n">
        <f aca="false">Algae_electricity_factor/Z205</f>
        <v>0.000806616985149645</v>
      </c>
      <c r="AW205" s="220" t="n">
        <f aca="false">Algae_electricity_factor/AA205</f>
        <v>0.000802007652566443</v>
      </c>
      <c r="AX205" s="220" t="n">
        <f aca="false">Algae_electricity_factor/AB205</f>
        <v>0.000799185415708106</v>
      </c>
      <c r="AY205" s="220" t="n">
        <f aca="false">Algae_electricity_factor/AC205</f>
        <v>0.000797463766605013</v>
      </c>
      <c r="AZ205" s="211" t="n">
        <f aca="false">Algae_yield_cost_factor/H205</f>
        <v>0.0879993776643786</v>
      </c>
      <c r="BA205" s="18" t="n">
        <f aca="false">Algae_yield_cost_factor/I205</f>
        <v>0.0879993776643786</v>
      </c>
      <c r="BB205" s="18" t="n">
        <f aca="false">Algae_yield_cost_factor/J205</f>
        <v>0.0879993776643786</v>
      </c>
      <c r="BC205" s="18" t="n">
        <f aca="false">Algae_yield_cost_factor/K205</f>
        <v>0.0879993776643786</v>
      </c>
      <c r="BD205" s="18" t="n">
        <f aca="false">Algae_yield_cost_factor/L205</f>
        <v>0.0879993776643786</v>
      </c>
      <c r="BE205" s="18" t="n">
        <f aca="false">Algae_yield_cost_factor/M205</f>
        <v>0.0840148977773632</v>
      </c>
      <c r="BF205" s="18" t="n">
        <f aca="false">Algae_yield_cost_factor/N205</f>
        <v>0.0817945890067416</v>
      </c>
      <c r="BG205" s="18" t="n">
        <f aca="false">Algae_yield_cost_factor/O205</f>
        <v>0.0786268298025759</v>
      </c>
      <c r="BH205" s="18" t="n">
        <f aca="false">Algae_yield_cost_factor/P205</f>
        <v>0.0744227656563934</v>
      </c>
      <c r="BI205" s="18" t="n">
        <f aca="false">Algae_yield_cost_factor/Q205</f>
        <v>0.0693486524928561</v>
      </c>
      <c r="BJ205" s="18" t="n">
        <f aca="false">Algae_yield_cost_factor/R205</f>
        <v>0.0638815097496576</v>
      </c>
      <c r="BK205" s="18" t="n">
        <f aca="false">Algae_yield_cost_factor/S205</f>
        <v>0.0586662517762524</v>
      </c>
      <c r="BL205" s="18" t="n">
        <f aca="false">Algae_yield_cost_factor/T205</f>
        <v>0.0542382640797487</v>
      </c>
      <c r="BM205" s="18" t="n">
        <f aca="false">Algae_yield_cost_factor/U205</f>
        <v>0.0508355862422768</v>
      </c>
      <c r="BN205" s="18" t="n">
        <f aca="false">Algae_yield_cost_factor/V205</f>
        <v>0.0484158304471058</v>
      </c>
      <c r="BO205" s="18" t="n">
        <f aca="false">Algae_yield_cost_factor/W205</f>
        <v>0.0467883423973575</v>
      </c>
      <c r="BP205" s="18" t="n">
        <f aca="false">Algae_yield_cost_factor/X205</f>
        <v>0.0457343511536744</v>
      </c>
      <c r="BQ205" s="18" t="n">
        <f aca="false">Algae_yield_cost_factor/Y205</f>
        <v>0.0450683927721538</v>
      </c>
      <c r="BR205" s="18" t="n">
        <f aca="false">Algae_yield_cost_factor/Z205</f>
        <v>0.0446541451352945</v>
      </c>
      <c r="BS205" s="18" t="n">
        <f aca="false">Algae_yield_cost_factor/AA205</f>
        <v>0.04439897346158</v>
      </c>
      <c r="BT205" s="18" t="n">
        <f aca="false">Algae_yield_cost_factor/AB205</f>
        <v>0.0442427350279758</v>
      </c>
      <c r="BU205" s="18" t="n">
        <f aca="false">Algae_yield_cost_factor/AC205</f>
        <v>0.0441474248989592</v>
      </c>
    </row>
    <row r="206" customFormat="false" ht="15" hidden="false" customHeight="false" outlineLevel="0" collapsed="false">
      <c r="A206" s="18" t="s">
        <v>718</v>
      </c>
      <c r="B206" s="18" t="s">
        <v>22</v>
      </c>
      <c r="C206" s="18" t="s">
        <v>686</v>
      </c>
      <c r="D206" s="18" t="s">
        <v>686</v>
      </c>
      <c r="E206" s="185" t="n">
        <v>9.01725</v>
      </c>
      <c r="F206" s="18" t="n">
        <f aca="false">E206/$B$2*$F$3/1000</f>
        <v>0.0220922625</v>
      </c>
      <c r="G206" s="18" t="n">
        <f aca="false">LOOKUP(RIGHT(D206,5),Ref!$C$4:$C$21,Ref!$E$4:$E$21)*$G$3</f>
        <v>4.5</v>
      </c>
      <c r="H206" s="222" t="n">
        <f aca="false">$E206</f>
        <v>9.01725</v>
      </c>
      <c r="I206" s="185" t="n">
        <f aca="false">$E206</f>
        <v>9.01725</v>
      </c>
      <c r="J206" s="185" t="n">
        <f aca="false">$E206</f>
        <v>9.01725</v>
      </c>
      <c r="K206" s="185" t="n">
        <f aca="false">$E206</f>
        <v>9.01725</v>
      </c>
      <c r="L206" s="185" t="n">
        <f aca="false">$E206</f>
        <v>9.01725</v>
      </c>
      <c r="M206" s="185" t="n">
        <f aca="false">M$3*$E206</f>
        <v>9.44490095491041</v>
      </c>
      <c r="N206" s="185" t="n">
        <f aca="false">N$3*$E206</f>
        <v>9.70128217379656</v>
      </c>
      <c r="O206" s="185" t="n">
        <f aca="false">O$3*$E206</f>
        <v>10.0921325486039</v>
      </c>
      <c r="P206" s="185" t="n">
        <f aca="false">P$3*$E206</f>
        <v>10.6622265545429</v>
      </c>
      <c r="Q206" s="185" t="n">
        <f aca="false">Q$3*$E206</f>
        <v>11.4423620318486</v>
      </c>
      <c r="R206" s="185" t="n">
        <f aca="false">R$3*$E206</f>
        <v>12.4216285957201</v>
      </c>
      <c r="S206" s="185" t="n">
        <f aca="false">S$3*$E206</f>
        <v>13.525875</v>
      </c>
      <c r="T206" s="185" t="n">
        <f aca="false">T$3*$E206</f>
        <v>14.6301214042799</v>
      </c>
      <c r="U206" s="185" t="n">
        <f aca="false">U$3*$E206</f>
        <v>15.6093879681514</v>
      </c>
      <c r="V206" s="185" t="n">
        <f aca="false">V$3*$E206</f>
        <v>16.3895234454571</v>
      </c>
      <c r="W206" s="185" t="n">
        <f aca="false">W$3*$E206</f>
        <v>16.9596174513961</v>
      </c>
      <c r="X206" s="185" t="n">
        <f aca="false">X$3*$E206</f>
        <v>17.3504678262034</v>
      </c>
      <c r="Y206" s="185" t="n">
        <f aca="false">Y$3*$E206</f>
        <v>17.6068490450896</v>
      </c>
      <c r="Z206" s="185" t="n">
        <f aca="false">Z$3*$E206</f>
        <v>17.7701842872573</v>
      </c>
      <c r="AA206" s="185" t="n">
        <f aca="false">AA$3*$E206</f>
        <v>17.8723138482193</v>
      </c>
      <c r="AB206" s="185" t="n">
        <f aca="false">AB$3*$E206</f>
        <v>17.9354279915643</v>
      </c>
      <c r="AC206" s="185" t="n">
        <f aca="false">AC$3*$E206</f>
        <v>17.974148890003</v>
      </c>
      <c r="AD206" s="219" t="n">
        <f aca="false">Algae_electricity_factor/H206</f>
        <v>0.0015241450667919</v>
      </c>
      <c r="AE206" s="220" t="n">
        <f aca="false">Algae_electricity_factor/I206</f>
        <v>0.0015241450667919</v>
      </c>
      <c r="AF206" s="220" t="n">
        <f aca="false">Algae_electricity_factor/J206</f>
        <v>0.0015241450667919</v>
      </c>
      <c r="AG206" s="220" t="n">
        <f aca="false">Algae_electricity_factor/K206</f>
        <v>0.0015241450667919</v>
      </c>
      <c r="AH206" s="220" t="n">
        <f aca="false">Algae_electricity_factor/L206</f>
        <v>0.0015241450667919</v>
      </c>
      <c r="AI206" s="220" t="n">
        <f aca="false">Algae_electricity_factor/M206</f>
        <v>0.00145513406325176</v>
      </c>
      <c r="AJ206" s="220" t="n">
        <f aca="false">Algae_electricity_factor/N206</f>
        <v>0.00141667842016297</v>
      </c>
      <c r="AK206" s="220" t="n">
        <f aca="false">Algae_electricity_factor/O206</f>
        <v>0.00136181298029329</v>
      </c>
      <c r="AL206" s="220" t="n">
        <f aca="false">Algae_electricity_factor/P206</f>
        <v>0.00128899878775072</v>
      </c>
      <c r="AM206" s="220" t="n">
        <f aca="false">Algae_electricity_factor/Q206</f>
        <v>0.00120111538730163</v>
      </c>
      <c r="AN206" s="220" t="n">
        <f aca="false">Algae_electricity_factor/R206</f>
        <v>0.00110642473308731</v>
      </c>
      <c r="AO206" s="220" t="n">
        <f aca="false">Algae_electricity_factor/S206</f>
        <v>0.0010160967111946</v>
      </c>
      <c r="AP206" s="220" t="n">
        <f aca="false">Algae_electricity_factor/T206</f>
        <v>0.00093940417333165</v>
      </c>
      <c r="AQ206" s="220" t="n">
        <f aca="false">Algae_electricity_factor/U206</f>
        <v>0.000880469953823365</v>
      </c>
      <c r="AR206" s="220" t="n">
        <f aca="false">Algae_electricity_factor/V206</f>
        <v>0.00083855989768505</v>
      </c>
      <c r="AS206" s="220" t="n">
        <f aca="false">Algae_electricity_factor/W206</f>
        <v>0.000810371881495354</v>
      </c>
      <c r="AT206" s="220" t="n">
        <f aca="false">Algae_electricity_factor/X206</f>
        <v>0.000792116802912546</v>
      </c>
      <c r="AU206" s="220" t="n">
        <f aca="false">Algae_electricity_factor/Y206</f>
        <v>0.000780582435183781</v>
      </c>
      <c r="AV206" s="220" t="n">
        <f aca="false">Algae_electricity_factor/Z206</f>
        <v>0.000773407685669559</v>
      </c>
      <c r="AW206" s="220" t="n">
        <f aca="false">Algae_electricity_factor/AA206</f>
        <v>0.000768988124327202</v>
      </c>
      <c r="AX206" s="220" t="n">
        <f aca="false">Algae_electricity_factor/AB206</f>
        <v>0.000766282082033024</v>
      </c>
      <c r="AY206" s="220" t="n">
        <f aca="false">Algae_electricity_factor/AC206</f>
        <v>0.000764631315097945</v>
      </c>
      <c r="AZ206" s="211" t="n">
        <f aca="false">Algae_yield_cost_factor/H206</f>
        <v>0.0843763474769157</v>
      </c>
      <c r="BA206" s="18" t="n">
        <f aca="false">Algae_yield_cost_factor/I206</f>
        <v>0.0843763474769157</v>
      </c>
      <c r="BB206" s="18" t="n">
        <f aca="false">Algae_yield_cost_factor/J206</f>
        <v>0.0843763474769157</v>
      </c>
      <c r="BC206" s="18" t="n">
        <f aca="false">Algae_yield_cost_factor/K206</f>
        <v>0.0843763474769157</v>
      </c>
      <c r="BD206" s="18" t="n">
        <f aca="false">Algae_yield_cost_factor/L206</f>
        <v>0.0843763474769157</v>
      </c>
      <c r="BE206" s="18" t="n">
        <f aca="false">Algae_yield_cost_factor/M206</f>
        <v>0.0805559129649374</v>
      </c>
      <c r="BF206" s="18" t="n">
        <f aca="false">Algae_yield_cost_factor/N206</f>
        <v>0.0784270167237559</v>
      </c>
      <c r="BG206" s="18" t="n">
        <f aca="false">Algae_yield_cost_factor/O206</f>
        <v>0.0753896776149126</v>
      </c>
      <c r="BH206" s="18" t="n">
        <f aca="false">Algae_yield_cost_factor/P206</f>
        <v>0.0713586993667889</v>
      </c>
      <c r="BI206" s="18" t="n">
        <f aca="false">Algae_yield_cost_factor/Q206</f>
        <v>0.0664934929666177</v>
      </c>
      <c r="BJ206" s="18" t="n">
        <f aca="false">Algae_yield_cost_factor/R206</f>
        <v>0.0612514384424897</v>
      </c>
      <c r="BK206" s="18" t="n">
        <f aca="false">Algae_yield_cost_factor/S206</f>
        <v>0.0562508983179438</v>
      </c>
      <c r="BL206" s="18" t="n">
        <f aca="false">Algae_yield_cost_factor/T206</f>
        <v>0.0520052156958615</v>
      </c>
      <c r="BM206" s="18" t="n">
        <f aca="false">Algae_yield_cost_factor/U206</f>
        <v>0.0487426298096121</v>
      </c>
      <c r="BN206" s="18" t="n">
        <f aca="false">Algae_yield_cost_factor/V206</f>
        <v>0.0464224979950292</v>
      </c>
      <c r="BO206" s="18" t="n">
        <f aca="false">Algae_yield_cost_factor/W206</f>
        <v>0.044862015400211</v>
      </c>
      <c r="BP206" s="18" t="n">
        <f aca="false">Algae_yield_cost_factor/X206</f>
        <v>0.0438514181235597</v>
      </c>
      <c r="BQ206" s="18" t="n">
        <f aca="false">Algae_yield_cost_factor/Y206</f>
        <v>0.0432128779736662</v>
      </c>
      <c r="BR206" s="18" t="n">
        <f aca="false">Algae_yield_cost_factor/Z206</f>
        <v>0.0428156853630271</v>
      </c>
      <c r="BS206" s="18" t="n">
        <f aca="false">Algae_yield_cost_factor/AA206</f>
        <v>0.0425710193849367</v>
      </c>
      <c r="BT206" s="18" t="n">
        <f aca="false">Algae_yield_cost_factor/AB206</f>
        <v>0.042421213457748</v>
      </c>
      <c r="BU206" s="18" t="n">
        <f aca="false">Algae_yield_cost_factor/AC206</f>
        <v>0.0423298273505117</v>
      </c>
    </row>
    <row r="207" customFormat="false" ht="15" hidden="false" customHeight="false" outlineLevel="0" collapsed="false">
      <c r="A207" s="18" t="s">
        <v>718</v>
      </c>
      <c r="B207" s="18" t="s">
        <v>22</v>
      </c>
      <c r="C207" s="18" t="s">
        <v>687</v>
      </c>
      <c r="D207" s="18" t="s">
        <v>687</v>
      </c>
      <c r="E207" s="185" t="n">
        <v>9.075</v>
      </c>
      <c r="F207" s="18" t="n">
        <f aca="false">E207/$B$2*$F$3/1000</f>
        <v>0.02223375</v>
      </c>
      <c r="G207" s="18" t="n">
        <f aca="false">LOOKUP(RIGHT(D207,5),Ref!$C$4:$C$21,Ref!$E$4:$E$21)*$G$3</f>
        <v>4.5</v>
      </c>
      <c r="H207" s="222" t="n">
        <f aca="false">$E207</f>
        <v>9.075</v>
      </c>
      <c r="I207" s="185" t="n">
        <f aca="false">$E207</f>
        <v>9.075</v>
      </c>
      <c r="J207" s="185" t="n">
        <f aca="false">$E207</f>
        <v>9.075</v>
      </c>
      <c r="K207" s="185" t="n">
        <f aca="false">$E207</f>
        <v>9.075</v>
      </c>
      <c r="L207" s="185" t="n">
        <f aca="false">$E207</f>
        <v>9.075</v>
      </c>
      <c r="M207" s="185" t="n">
        <f aca="false">M$3*$E207</f>
        <v>9.50538979908642</v>
      </c>
      <c r="N207" s="185" t="n">
        <f aca="false">N$3*$E207</f>
        <v>9.76341298369279</v>
      </c>
      <c r="O207" s="185" t="n">
        <f aca="false">O$3*$E207</f>
        <v>10.1567665173507</v>
      </c>
      <c r="P207" s="185" t="n">
        <f aca="false">P$3*$E207</f>
        <v>10.7305116285427</v>
      </c>
      <c r="Q207" s="185" t="n">
        <f aca="false">Q$3*$E207</f>
        <v>11.5156433989327</v>
      </c>
      <c r="R207" s="185" t="n">
        <f aca="false">R$3*$E207</f>
        <v>12.5011815693432</v>
      </c>
      <c r="S207" s="185" t="n">
        <f aca="false">S$3*$E207</f>
        <v>13.6125</v>
      </c>
      <c r="T207" s="185" t="n">
        <f aca="false">T$3*$E207</f>
        <v>14.7238184306568</v>
      </c>
      <c r="U207" s="185" t="n">
        <f aca="false">U$3*$E207</f>
        <v>15.7093566010673</v>
      </c>
      <c r="V207" s="185" t="n">
        <f aca="false">V$3*$E207</f>
        <v>16.4944883714573</v>
      </c>
      <c r="W207" s="185" t="n">
        <f aca="false">W$3*$E207</f>
        <v>17.0682334826493</v>
      </c>
      <c r="X207" s="185" t="n">
        <f aca="false">X$3*$E207</f>
        <v>17.4615870163072</v>
      </c>
      <c r="Y207" s="185" t="n">
        <f aca="false">Y$3*$E207</f>
        <v>17.7196102009136</v>
      </c>
      <c r="Z207" s="185" t="n">
        <f aca="false">Z$3*$E207</f>
        <v>17.8839915059314</v>
      </c>
      <c r="AA207" s="185" t="n">
        <f aca="false">AA$3*$E207</f>
        <v>17.986775144594</v>
      </c>
      <c r="AB207" s="185" t="n">
        <f aca="false">AB$3*$E207</f>
        <v>18.0502934956274</v>
      </c>
      <c r="AC207" s="185" t="n">
        <f aca="false">AC$3*$E207</f>
        <v>18.0892623778621</v>
      </c>
      <c r="AD207" s="219" t="n">
        <f aca="false">Algae_electricity_factor/H207</f>
        <v>0.00151444596182141</v>
      </c>
      <c r="AE207" s="220" t="n">
        <f aca="false">Algae_electricity_factor/I207</f>
        <v>0.00151444596182141</v>
      </c>
      <c r="AF207" s="220" t="n">
        <f aca="false">Algae_electricity_factor/J207</f>
        <v>0.00151444596182141</v>
      </c>
      <c r="AG207" s="220" t="n">
        <f aca="false">Algae_electricity_factor/K207</f>
        <v>0.00151444596182141</v>
      </c>
      <c r="AH207" s="220" t="n">
        <f aca="false">Algae_electricity_factor/L207</f>
        <v>0.00151444596182141</v>
      </c>
      <c r="AI207" s="220" t="n">
        <f aca="false">Algae_electricity_factor/M207</f>
        <v>0.00144587411921289</v>
      </c>
      <c r="AJ207" s="220" t="n">
        <f aca="false">Algae_electricity_factor/N207</f>
        <v>0.00140766319385284</v>
      </c>
      <c r="AK207" s="220" t="n">
        <f aca="false">Algae_electricity_factor/O207</f>
        <v>0.00135314689769142</v>
      </c>
      <c r="AL207" s="220" t="n">
        <f aca="false">Algae_electricity_factor/P207</f>
        <v>0.0012807960681923</v>
      </c>
      <c r="AM207" s="220" t="n">
        <f aca="false">Algae_electricity_factor/Q207</f>
        <v>0.00119347192574607</v>
      </c>
      <c r="AN207" s="220" t="n">
        <f aca="false">Algae_electricity_factor/R207</f>
        <v>0.00109938384842221</v>
      </c>
      <c r="AO207" s="220" t="n">
        <f aca="false">Algae_electricity_factor/S207</f>
        <v>0.00100963064121427</v>
      </c>
      <c r="AP207" s="220" t="n">
        <f aca="false">Algae_electricity_factor/T207</f>
        <v>0.000933426146774085</v>
      </c>
      <c r="AQ207" s="220" t="n">
        <f aca="false">Algae_electricity_factor/U207</f>
        <v>0.000874866963208125</v>
      </c>
      <c r="AR207" s="220" t="n">
        <f aca="false">Algae_electricity_factor/V207</f>
        <v>0.000833223607427054</v>
      </c>
      <c r="AS207" s="220" t="n">
        <f aca="false">Algae_electricity_factor/W207</f>
        <v>0.000805214969522201</v>
      </c>
      <c r="AT207" s="220" t="n">
        <f aca="false">Algae_electricity_factor/X207</f>
        <v>0.000787076059621284</v>
      </c>
      <c r="AU207" s="220" t="n">
        <f aca="false">Algae_electricity_factor/Y207</f>
        <v>0.00077561509241443</v>
      </c>
      <c r="AV207" s="220" t="n">
        <f aca="false">Algae_electricity_factor/Z207</f>
        <v>0.000768486000397116</v>
      </c>
      <c r="AW207" s="220" t="n">
        <f aca="false">Algae_electricity_factor/AA207</f>
        <v>0.000764094563536029</v>
      </c>
      <c r="AX207" s="220" t="n">
        <f aca="false">Algae_electricity_factor/AB207</f>
        <v>0.000761405741510996</v>
      </c>
      <c r="AY207" s="220" t="n">
        <f aca="false">Algae_electricity_factor/AC207</f>
        <v>0.000759765479456413</v>
      </c>
      <c r="AZ207" s="211" t="n">
        <f aca="false">Algae_yield_cost_factor/H207</f>
        <v>0.0838394070838807</v>
      </c>
      <c r="BA207" s="18" t="n">
        <f aca="false">Algae_yield_cost_factor/I207</f>
        <v>0.0838394070838807</v>
      </c>
      <c r="BB207" s="18" t="n">
        <f aca="false">Algae_yield_cost_factor/J207</f>
        <v>0.0838394070838807</v>
      </c>
      <c r="BC207" s="18" t="n">
        <f aca="false">Algae_yield_cost_factor/K207</f>
        <v>0.0838394070838807</v>
      </c>
      <c r="BD207" s="18" t="n">
        <f aca="false">Algae_yield_cost_factor/L207</f>
        <v>0.0838394070838807</v>
      </c>
      <c r="BE207" s="18" t="n">
        <f aca="false">Algae_yield_cost_factor/M207</f>
        <v>0.0800432844278878</v>
      </c>
      <c r="BF207" s="18" t="n">
        <f aca="false">Algae_yield_cost_factor/N207</f>
        <v>0.0779279357082411</v>
      </c>
      <c r="BG207" s="18" t="n">
        <f aca="false">Algae_yield_cost_factor/O207</f>
        <v>0.0749099251209996</v>
      </c>
      <c r="BH207" s="18" t="n">
        <f aca="false">Algae_yield_cost_factor/P207</f>
        <v>0.0709045985526366</v>
      </c>
      <c r="BI207" s="18" t="n">
        <f aca="false">Algae_yield_cost_factor/Q207</f>
        <v>0.0660703525568301</v>
      </c>
      <c r="BJ207" s="18" t="n">
        <f aca="false">Algae_yield_cost_factor/R207</f>
        <v>0.060861656561492</v>
      </c>
      <c r="BK207" s="18" t="n">
        <f aca="false">Algae_yield_cost_factor/S207</f>
        <v>0.0558929380559205</v>
      </c>
      <c r="BL207" s="18" t="n">
        <f aca="false">Algae_yield_cost_factor/T207</f>
        <v>0.0516742734141606</v>
      </c>
      <c r="BM207" s="18" t="n">
        <f aca="false">Algae_yield_cost_factor/U207</f>
        <v>0.0484324494380964</v>
      </c>
      <c r="BN207" s="18" t="n">
        <f aca="false">Algae_yield_cost_factor/V207</f>
        <v>0.0461270820986972</v>
      </c>
      <c r="BO207" s="18" t="n">
        <f aca="false">Algae_yield_cost_factor/W207</f>
        <v>0.0445765298476642</v>
      </c>
      <c r="BP207" s="18" t="n">
        <f aca="false">Algae_yield_cost_factor/X207</f>
        <v>0.0435723636445916</v>
      </c>
      <c r="BQ207" s="18" t="n">
        <f aca="false">Algae_yield_cost_factor/Y207</f>
        <v>0.0429378869320156</v>
      </c>
      <c r="BR207" s="18" t="n">
        <f aca="false">Algae_yield_cost_factor/Z207</f>
        <v>0.0425432219107169</v>
      </c>
      <c r="BS207" s="18" t="n">
        <f aca="false">Algae_yield_cost_factor/AA207</f>
        <v>0.0423001128979417</v>
      </c>
      <c r="BT207" s="18" t="n">
        <f aca="false">Algae_yield_cost_factor/AB207</f>
        <v>0.0421512602811987</v>
      </c>
      <c r="BU207" s="18" t="n">
        <f aca="false">Algae_yield_cost_factor/AC207</f>
        <v>0.0420604557219175</v>
      </c>
    </row>
    <row r="208" customFormat="false" ht="15" hidden="false" customHeight="false" outlineLevel="0" collapsed="false">
      <c r="A208" s="18" t="s">
        <v>719</v>
      </c>
      <c r="B208" s="18" t="s">
        <v>22</v>
      </c>
      <c r="C208" s="18" t="s">
        <v>693</v>
      </c>
      <c r="D208" s="18" t="s">
        <v>693</v>
      </c>
      <c r="E208" s="185" t="n">
        <v>8.415</v>
      </c>
      <c r="F208" s="18" t="n">
        <f aca="false">E208/$B$2*$F$3/1000</f>
        <v>0.02061675</v>
      </c>
      <c r="G208" s="18" t="n">
        <f aca="false">LOOKUP(RIGHT(D208,5),Ref!$C$4:$C$21,Ref!$E$4:$E$21)*$G$3</f>
        <v>3</v>
      </c>
      <c r="H208" s="222" t="n">
        <f aca="false">$E208</f>
        <v>8.415</v>
      </c>
      <c r="I208" s="185" t="n">
        <f aca="false">$E208</f>
        <v>8.415</v>
      </c>
      <c r="J208" s="185" t="n">
        <f aca="false">$E208</f>
        <v>8.415</v>
      </c>
      <c r="K208" s="185" t="n">
        <f aca="false">$E208</f>
        <v>8.415</v>
      </c>
      <c r="L208" s="185" t="n">
        <f aca="false">$E208</f>
        <v>8.415</v>
      </c>
      <c r="M208" s="185" t="n">
        <f aca="false">M$3*$E208</f>
        <v>8.81408872278923</v>
      </c>
      <c r="N208" s="185" t="n">
        <f aca="false">N$3*$E208</f>
        <v>9.05334658487877</v>
      </c>
      <c r="O208" s="185" t="n">
        <f aca="false">O$3*$E208</f>
        <v>9.41809258881612</v>
      </c>
      <c r="P208" s="185" t="n">
        <f aca="false">P$3*$E208</f>
        <v>9.95011078283049</v>
      </c>
      <c r="Q208" s="185" t="n">
        <f aca="false">Q$3*$E208</f>
        <v>10.6781420608285</v>
      </c>
      <c r="R208" s="185" t="n">
        <f aca="false">R$3*$E208</f>
        <v>11.5920047279364</v>
      </c>
      <c r="S208" s="185" t="n">
        <f aca="false">S$3*$E208</f>
        <v>12.6225</v>
      </c>
      <c r="T208" s="185" t="n">
        <f aca="false">T$3*$E208</f>
        <v>13.6529952720636</v>
      </c>
      <c r="U208" s="185" t="n">
        <f aca="false">U$3*$E208</f>
        <v>14.5668579391715</v>
      </c>
      <c r="V208" s="185" t="n">
        <f aca="false">V$3*$E208</f>
        <v>15.2948892171695</v>
      </c>
      <c r="W208" s="185" t="n">
        <f aca="false">W$3*$E208</f>
        <v>15.8269074111839</v>
      </c>
      <c r="X208" s="185" t="n">
        <f aca="false">X$3*$E208</f>
        <v>16.1916534151212</v>
      </c>
      <c r="Y208" s="185" t="n">
        <f aca="false">Y$3*$E208</f>
        <v>16.4309112772108</v>
      </c>
      <c r="Z208" s="185" t="n">
        <f aca="false">Z$3*$E208</f>
        <v>16.5833375782273</v>
      </c>
      <c r="AA208" s="185" t="n">
        <f aca="false">AA$3*$E208</f>
        <v>16.678646043169</v>
      </c>
      <c r="AB208" s="185" t="n">
        <f aca="false">AB$3*$E208</f>
        <v>16.7375448777636</v>
      </c>
      <c r="AC208" s="185" t="n">
        <f aca="false">AC$3*$E208</f>
        <v>16.7736796594721</v>
      </c>
      <c r="AD208" s="219" t="n">
        <f aca="false">Algae_electricity_factor/H208</f>
        <v>0.00163322603725838</v>
      </c>
      <c r="AE208" s="220" t="n">
        <f aca="false">Algae_electricity_factor/I208</f>
        <v>0.00163322603725838</v>
      </c>
      <c r="AF208" s="220" t="n">
        <f aca="false">Algae_electricity_factor/J208</f>
        <v>0.00163322603725838</v>
      </c>
      <c r="AG208" s="220" t="n">
        <f aca="false">Algae_electricity_factor/K208</f>
        <v>0.00163322603725838</v>
      </c>
      <c r="AH208" s="220" t="n">
        <f aca="false">Algae_electricity_factor/L208</f>
        <v>0.00163322603725838</v>
      </c>
      <c r="AI208" s="220" t="n">
        <f aca="false">Algae_electricity_factor/M208</f>
        <v>0.00155927601091586</v>
      </c>
      <c r="AJ208" s="220" t="n">
        <f aca="false">Algae_electricity_factor/N208</f>
        <v>0.00151806815023345</v>
      </c>
      <c r="AK208" s="220" t="n">
        <f aca="false">Algae_electricity_factor/O208</f>
        <v>0.00145927606613781</v>
      </c>
      <c r="AL208" s="220" t="n">
        <f aca="false">Algae_electricity_factor/P208</f>
        <v>0.00138125066177601</v>
      </c>
      <c r="AM208" s="220" t="n">
        <f aca="false">Algae_electricity_factor/Q208</f>
        <v>0.00128707756698106</v>
      </c>
      <c r="AN208" s="220" t="n">
        <f aca="false">Algae_electricity_factor/R208</f>
        <v>0.00118561003261218</v>
      </c>
      <c r="AO208" s="220" t="n">
        <f aca="false">Algae_electricity_factor/S208</f>
        <v>0.00108881735817225</v>
      </c>
      <c r="AP208" s="220" t="n">
        <f aca="false">Algae_electricity_factor/T208</f>
        <v>0.00100663604063872</v>
      </c>
      <c r="AQ208" s="220" t="n">
        <f aca="false">Algae_electricity_factor/U208</f>
        <v>0.000943483979930331</v>
      </c>
      <c r="AR208" s="220" t="n">
        <f aca="false">Algae_electricity_factor/V208</f>
        <v>0.000898574478597803</v>
      </c>
      <c r="AS208" s="220" t="n">
        <f aca="false">Algae_electricity_factor/W208</f>
        <v>0.000868369084778845</v>
      </c>
      <c r="AT208" s="220" t="n">
        <f aca="false">Algae_electricity_factor/X208</f>
        <v>0.000848807515277855</v>
      </c>
      <c r="AU208" s="220" t="n">
        <f aca="false">Algae_electricity_factor/Y208</f>
        <v>0.000836447648682228</v>
      </c>
      <c r="AV208" s="220" t="n">
        <f aca="false">Algae_electricity_factor/Z208</f>
        <v>0.000828759412192969</v>
      </c>
      <c r="AW208" s="220" t="n">
        <f aca="false">Algae_electricity_factor/AA208</f>
        <v>0.000824023548911404</v>
      </c>
      <c r="AX208" s="220" t="n">
        <f aca="false">Algae_electricity_factor/AB208</f>
        <v>0.000821123838884407</v>
      </c>
      <c r="AY208" s="220" t="n">
        <f aca="false">Algae_electricity_factor/AC208</f>
        <v>0.000819354928825543</v>
      </c>
      <c r="AZ208" s="211" t="n">
        <f aca="false">Algae_yield_cost_factor/H208</f>
        <v>0.0904150468551655</v>
      </c>
      <c r="BA208" s="18" t="n">
        <f aca="false">Algae_yield_cost_factor/I208</f>
        <v>0.0904150468551655</v>
      </c>
      <c r="BB208" s="18" t="n">
        <f aca="false">Algae_yield_cost_factor/J208</f>
        <v>0.0904150468551655</v>
      </c>
      <c r="BC208" s="18" t="n">
        <f aca="false">Algae_yield_cost_factor/K208</f>
        <v>0.0904150468551655</v>
      </c>
      <c r="BD208" s="18" t="n">
        <f aca="false">Algae_yield_cost_factor/L208</f>
        <v>0.0904150468551655</v>
      </c>
      <c r="BE208" s="18" t="n">
        <f aca="false">Algae_yield_cost_factor/M208</f>
        <v>0.0863211890888986</v>
      </c>
      <c r="BF208" s="18" t="n">
        <f aca="false">Algae_yield_cost_factor/N208</f>
        <v>0.0840399306657502</v>
      </c>
      <c r="BG208" s="18" t="n">
        <f aca="false">Algae_yield_cost_factor/O208</f>
        <v>0.0807852133657838</v>
      </c>
      <c r="BH208" s="18" t="n">
        <f aca="false">Algae_yield_cost_factor/P208</f>
        <v>0.0764657435371571</v>
      </c>
      <c r="BI208" s="18" t="n">
        <f aca="false">Algae_yield_cost_factor/Q208</f>
        <v>0.07125234099266</v>
      </c>
      <c r="BJ208" s="18" t="n">
        <f aca="false">Algae_yield_cost_factor/R208</f>
        <v>0.0656351198212169</v>
      </c>
      <c r="BK208" s="18" t="n">
        <f aca="false">Algae_yield_cost_factor/S208</f>
        <v>0.0602766979034437</v>
      </c>
      <c r="BL208" s="18" t="n">
        <f aca="false">Algae_yield_cost_factor/T208</f>
        <v>0.0557271576035065</v>
      </c>
      <c r="BM208" s="18" t="n">
        <f aca="false">Algae_yield_cost_factor/U208</f>
        <v>0.0522310729234373</v>
      </c>
      <c r="BN208" s="18" t="n">
        <f aca="false">Algae_yield_cost_factor/V208</f>
        <v>0.0497448924593793</v>
      </c>
      <c r="BO208" s="18" t="n">
        <f aca="false">Algae_yield_cost_factor/W208</f>
        <v>0.0480727282670889</v>
      </c>
      <c r="BP208" s="18" t="n">
        <f aca="false">Algae_yield_cost_factor/X208</f>
        <v>0.046989803930442</v>
      </c>
      <c r="BQ208" s="18" t="n">
        <f aca="false">Algae_yield_cost_factor/Y208</f>
        <v>0.0463055643384482</v>
      </c>
      <c r="BR208" s="18" t="n">
        <f aca="false">Algae_yield_cost_factor/Z208</f>
        <v>0.045879945197832</v>
      </c>
      <c r="BS208" s="18" t="n">
        <f aca="false">Algae_yield_cost_factor/AA208</f>
        <v>0.0456177688115057</v>
      </c>
      <c r="BT208" s="18" t="n">
        <f aca="false">Algae_yield_cost_factor/AB208</f>
        <v>0.0454572414797241</v>
      </c>
      <c r="BU208" s="18" t="n">
        <f aca="false">Algae_yield_cost_factor/AC208</f>
        <v>0.0453593149942248</v>
      </c>
    </row>
    <row r="209" customFormat="false" ht="15" hidden="false" customHeight="false" outlineLevel="0" collapsed="false">
      <c r="A209" s="18" t="s">
        <v>719</v>
      </c>
      <c r="B209" s="18" t="s">
        <v>22</v>
      </c>
      <c r="C209" s="18" t="s">
        <v>694</v>
      </c>
      <c r="D209" s="18" t="s">
        <v>694</v>
      </c>
      <c r="E209" s="185" t="n">
        <v>8.12625</v>
      </c>
      <c r="F209" s="18" t="n">
        <f aca="false">E209/$B$2*$F$3/1000</f>
        <v>0.0199093125</v>
      </c>
      <c r="G209" s="18" t="n">
        <f aca="false">LOOKUP(RIGHT(D209,5),Ref!$C$4:$C$21,Ref!$E$4:$E$21)*$G$3</f>
        <v>3</v>
      </c>
      <c r="H209" s="222" t="n">
        <f aca="false">$E209</f>
        <v>8.12625</v>
      </c>
      <c r="I209" s="185" t="n">
        <f aca="false">$E209</f>
        <v>8.12625</v>
      </c>
      <c r="J209" s="185" t="n">
        <f aca="false">$E209</f>
        <v>8.12625</v>
      </c>
      <c r="K209" s="185" t="n">
        <f aca="false">$E209</f>
        <v>8.12625</v>
      </c>
      <c r="L209" s="185" t="n">
        <f aca="false">$E209</f>
        <v>8.12625</v>
      </c>
      <c r="M209" s="185" t="n">
        <f aca="false">M$3*$E209</f>
        <v>8.5116445019092</v>
      </c>
      <c r="N209" s="185" t="n">
        <f aca="false">N$3*$E209</f>
        <v>8.74269253539763</v>
      </c>
      <c r="O209" s="185" t="n">
        <f aca="false">O$3*$E209</f>
        <v>9.09492274508223</v>
      </c>
      <c r="P209" s="185" t="n">
        <f aca="false">P$3*$E209</f>
        <v>9.6086854128314</v>
      </c>
      <c r="Q209" s="185" t="n">
        <f aca="false">Q$3*$E209</f>
        <v>10.3117352254079</v>
      </c>
      <c r="R209" s="185" t="n">
        <f aca="false">R$3*$E209</f>
        <v>11.1942398598209</v>
      </c>
      <c r="S209" s="185" t="n">
        <f aca="false">S$3*$E209</f>
        <v>12.189375</v>
      </c>
      <c r="T209" s="185" t="n">
        <f aca="false">T$3*$E209</f>
        <v>13.1845101401791</v>
      </c>
      <c r="U209" s="185" t="n">
        <f aca="false">U$3*$E209</f>
        <v>14.0670147745921</v>
      </c>
      <c r="V209" s="185" t="n">
        <f aca="false">V$3*$E209</f>
        <v>14.7700645871686</v>
      </c>
      <c r="W209" s="185" t="n">
        <f aca="false">W$3*$E209</f>
        <v>15.2838272549178</v>
      </c>
      <c r="X209" s="185" t="n">
        <f aca="false">X$3*$E209</f>
        <v>15.6360574646024</v>
      </c>
      <c r="Y209" s="185" t="n">
        <f aca="false">Y$3*$E209</f>
        <v>15.8671054980908</v>
      </c>
      <c r="Z209" s="185" t="n">
        <f aca="false">Z$3*$E209</f>
        <v>16.0143014848568</v>
      </c>
      <c r="AA209" s="185" t="n">
        <f aca="false">AA$3*$E209</f>
        <v>16.1063395612956</v>
      </c>
      <c r="AB209" s="185" t="n">
        <f aca="false">AB$3*$E209</f>
        <v>16.1632173574481</v>
      </c>
      <c r="AC209" s="185" t="n">
        <f aca="false">AC$3*$E209</f>
        <v>16.1981122201765</v>
      </c>
      <c r="AD209" s="219" t="n">
        <f aca="false">Algae_electricity_factor/H209</f>
        <v>0.00169125944974979</v>
      </c>
      <c r="AE209" s="220" t="n">
        <f aca="false">Algae_electricity_factor/I209</f>
        <v>0.00169125944974979</v>
      </c>
      <c r="AF209" s="220" t="n">
        <f aca="false">Algae_electricity_factor/J209</f>
        <v>0.00169125944974979</v>
      </c>
      <c r="AG209" s="220" t="n">
        <f aca="false">Algae_electricity_factor/K209</f>
        <v>0.00169125944974979</v>
      </c>
      <c r="AH209" s="220" t="n">
        <f aca="false">Algae_electricity_factor/L209</f>
        <v>0.00169125944974979</v>
      </c>
      <c r="AI209" s="220" t="n">
        <f aca="false">Algae_electricity_factor/M209</f>
        <v>0.00161468175749663</v>
      </c>
      <c r="AJ209" s="220" t="n">
        <f aca="false">Algae_electricity_factor/N209</f>
        <v>0.00157200965810977</v>
      </c>
      <c r="AK209" s="220" t="n">
        <f aca="false">Algae_electricity_factor/O209</f>
        <v>0.00151112851518839</v>
      </c>
      <c r="AL209" s="220" t="n">
        <f aca="false">Algae_electricity_factor/P209</f>
        <v>0.00143033063452948</v>
      </c>
      <c r="AM209" s="220" t="n">
        <f aca="false">Algae_electricity_factor/Q209</f>
        <v>0.00133281128763521</v>
      </c>
      <c r="AN209" s="220" t="n">
        <f aca="false">Algae_electricity_factor/R209</f>
        <v>0.00122773830788267</v>
      </c>
      <c r="AO209" s="220" t="n">
        <f aca="false">Algae_electricity_factor/S209</f>
        <v>0.0011275062998332</v>
      </c>
      <c r="AP209" s="220" t="n">
        <f aca="false">Algae_electricity_factor/T209</f>
        <v>0.00104240483396091</v>
      </c>
      <c r="AQ209" s="220" t="n">
        <f aca="false">Algae_electricity_factor/U209</f>
        <v>0.000977008791399937</v>
      </c>
      <c r="AR209" s="220" t="n">
        <f aca="false">Algae_electricity_factor/V209</f>
        <v>0.000930503520984527</v>
      </c>
      <c r="AS209" s="220" t="n">
        <f aca="false">Algae_electricity_factor/W209</f>
        <v>0.000899224839060327</v>
      </c>
      <c r="AT209" s="220" t="n">
        <f aca="false">Algae_electricity_factor/X209</f>
        <v>0.000878968188409556</v>
      </c>
      <c r="AU209" s="220" t="n">
        <f aca="false">Algae_electricity_factor/Y209</f>
        <v>0.000866169138736927</v>
      </c>
      <c r="AV209" s="220" t="n">
        <f aca="false">Algae_electricity_factor/Z209</f>
        <v>0.000858207716179521</v>
      </c>
      <c r="AW209" s="220" t="n">
        <f aca="false">Algae_electricity_factor/AA209</f>
        <v>0.000853303573492012</v>
      </c>
      <c r="AX209" s="220" t="n">
        <f aca="false">Algae_electricity_factor/AB209</f>
        <v>0.000850300828083346</v>
      </c>
      <c r="AY209" s="220" t="n">
        <f aca="false">Algae_electricity_factor/AC209</f>
        <v>0.000848469063352339</v>
      </c>
      <c r="AZ209" s="211" t="n">
        <f aca="false">Algae_yield_cost_factor/H209</f>
        <v>0.0936277642561105</v>
      </c>
      <c r="BA209" s="18" t="n">
        <f aca="false">Algae_yield_cost_factor/I209</f>
        <v>0.0936277642561105</v>
      </c>
      <c r="BB209" s="18" t="n">
        <f aca="false">Algae_yield_cost_factor/J209</f>
        <v>0.0936277642561105</v>
      </c>
      <c r="BC209" s="18" t="n">
        <f aca="false">Algae_yield_cost_factor/K209</f>
        <v>0.0936277642561105</v>
      </c>
      <c r="BD209" s="18" t="n">
        <f aca="false">Algae_yield_cost_factor/L209</f>
        <v>0.0936277642561105</v>
      </c>
      <c r="BE209" s="18" t="n">
        <f aca="false">Algae_yield_cost_factor/M209</f>
        <v>0.0893884394626159</v>
      </c>
      <c r="BF209" s="18" t="n">
        <f aca="false">Algae_yield_cost_factor/N209</f>
        <v>0.0870261210954977</v>
      </c>
      <c r="BG209" s="18" t="n">
        <f aca="false">Algae_yield_cost_factor/O209</f>
        <v>0.083655753942233</v>
      </c>
      <c r="BH209" s="18" t="n">
        <f aca="false">Algae_yield_cost_factor/P209</f>
        <v>0.0791828004141119</v>
      </c>
      <c r="BI209" s="18" t="n">
        <f aca="false">Algae_yield_cost_factor/Q209</f>
        <v>0.0737841500634651</v>
      </c>
      <c r="BJ209" s="18" t="n">
        <f aca="false">Algae_yield_cost_factor/R209</f>
        <v>0.067967332200651</v>
      </c>
      <c r="BK209" s="18" t="n">
        <f aca="false">Algae_yield_cost_factor/S209</f>
        <v>0.0624185095040736</v>
      </c>
      <c r="BL209" s="18" t="n">
        <f aca="false">Algae_yield_cost_factor/T209</f>
        <v>0.0577073104117529</v>
      </c>
      <c r="BM209" s="18" t="n">
        <f aca="false">Algae_yield_cost_factor/U209</f>
        <v>0.0540869993724935</v>
      </c>
      <c r="BN209" s="18" t="n">
        <f aca="false">Algae_yield_cost_factor/V209</f>
        <v>0.0515124774706263</v>
      </c>
      <c r="BO209" s="18" t="n">
        <f aca="false">Algae_yield_cost_factor/W209</f>
        <v>0.0497808962765793</v>
      </c>
      <c r="BP209" s="18" t="n">
        <f aca="false">Algae_yield_cost_factor/X209</f>
        <v>0.0486594923949754</v>
      </c>
      <c r="BQ209" s="18" t="n">
        <f aca="false">Algae_yield_cost_factor/Y209</f>
        <v>0.0479509397210327</v>
      </c>
      <c r="BR209" s="18" t="n">
        <f aca="false">Algae_yield_cost_factor/Z209</f>
        <v>0.0475101970576534</v>
      </c>
      <c r="BS209" s="18" t="n">
        <f aca="false">Algae_yield_cost_factor/AA209</f>
        <v>0.0472387047591227</v>
      </c>
      <c r="BT209" s="18" t="n">
        <f aca="false">Algae_yield_cost_factor/AB209</f>
        <v>0.0470724734104758</v>
      </c>
      <c r="BU209" s="18" t="n">
        <f aca="false">Algae_yield_cost_factor/AC209</f>
        <v>0.0469710673036642</v>
      </c>
    </row>
    <row r="210" customFormat="false" ht="15" hidden="false" customHeight="false" outlineLevel="0" collapsed="false">
      <c r="A210" s="18" t="s">
        <v>719</v>
      </c>
      <c r="B210" s="18" t="s">
        <v>22</v>
      </c>
      <c r="C210" s="18" t="s">
        <v>682</v>
      </c>
      <c r="D210" s="18" t="s">
        <v>682</v>
      </c>
      <c r="E210" s="185" t="n">
        <v>7.94475</v>
      </c>
      <c r="F210" s="18" t="n">
        <f aca="false">E210/$B$2*$F$3/1000</f>
        <v>0.0194646375</v>
      </c>
      <c r="G210" s="18" t="n">
        <f aca="false">LOOKUP(RIGHT(D210,5),Ref!$C$4:$C$21,Ref!$E$4:$E$21)*$G$3</f>
        <v>3</v>
      </c>
      <c r="H210" s="222" t="n">
        <f aca="false">$E210</f>
        <v>7.94475</v>
      </c>
      <c r="I210" s="185" t="n">
        <f aca="false">$E210</f>
        <v>7.94475</v>
      </c>
      <c r="J210" s="185" t="n">
        <f aca="false">$E210</f>
        <v>7.94475</v>
      </c>
      <c r="K210" s="185" t="n">
        <f aca="false">$E210</f>
        <v>7.94475</v>
      </c>
      <c r="L210" s="185" t="n">
        <f aca="false">$E210</f>
        <v>7.94475</v>
      </c>
      <c r="M210" s="185" t="n">
        <f aca="false">M$3*$E210</f>
        <v>8.32153670592747</v>
      </c>
      <c r="N210" s="185" t="n">
        <f aca="false">N$3*$E210</f>
        <v>8.54742427572377</v>
      </c>
      <c r="O210" s="185" t="n">
        <f aca="false">O$3*$E210</f>
        <v>8.89178741473522</v>
      </c>
      <c r="P210" s="185" t="n">
        <f aca="false">P$3*$E210</f>
        <v>9.39407518026055</v>
      </c>
      <c r="Q210" s="185" t="n">
        <f aca="false">Q$3*$E210</f>
        <v>10.0814223574293</v>
      </c>
      <c r="R210" s="185" t="n">
        <f aca="false">R$3*$E210</f>
        <v>10.9442162284341</v>
      </c>
      <c r="S210" s="185" t="n">
        <f aca="false">S$3*$E210</f>
        <v>11.917125</v>
      </c>
      <c r="T210" s="185" t="n">
        <f aca="false">T$3*$E210</f>
        <v>12.8900337715659</v>
      </c>
      <c r="U210" s="185" t="n">
        <f aca="false">U$3*$E210</f>
        <v>13.7528276425707</v>
      </c>
      <c r="V210" s="185" t="n">
        <f aca="false">V$3*$E210</f>
        <v>14.4401748197395</v>
      </c>
      <c r="W210" s="185" t="n">
        <f aca="false">W$3*$E210</f>
        <v>14.9424625852648</v>
      </c>
      <c r="X210" s="185" t="n">
        <f aca="false">X$3*$E210</f>
        <v>15.2868257242762</v>
      </c>
      <c r="Y210" s="185" t="n">
        <f aca="false">Y$3*$E210</f>
        <v>15.5127132940725</v>
      </c>
      <c r="Z210" s="185" t="n">
        <f aca="false">Z$3*$E210</f>
        <v>15.6566216547382</v>
      </c>
      <c r="AA210" s="185" t="n">
        <f aca="false">AA$3*$E210</f>
        <v>15.7466040584037</v>
      </c>
      <c r="AB210" s="185" t="n">
        <f aca="false">AB$3*$E210</f>
        <v>15.8022114875356</v>
      </c>
      <c r="AC210" s="185" t="n">
        <f aca="false">AC$3*$E210</f>
        <v>15.8363269726193</v>
      </c>
      <c r="AD210" s="219" t="n">
        <f aca="false">Algae_electricity_factor/H210</f>
        <v>0.00172989673728302</v>
      </c>
      <c r="AE210" s="220" t="n">
        <f aca="false">Algae_electricity_factor/I210</f>
        <v>0.00172989673728302</v>
      </c>
      <c r="AF210" s="220" t="n">
        <f aca="false">Algae_electricity_factor/J210</f>
        <v>0.00172989673728302</v>
      </c>
      <c r="AG210" s="220" t="n">
        <f aca="false">Algae_electricity_factor/K210</f>
        <v>0.00172989673728302</v>
      </c>
      <c r="AH210" s="220" t="n">
        <f aca="false">Algae_electricity_factor/L210</f>
        <v>0.00172989673728302</v>
      </c>
      <c r="AI210" s="220" t="n">
        <f aca="false">Algae_electricity_factor/M210</f>
        <v>0.00165156960657755</v>
      </c>
      <c r="AJ210" s="220" t="n">
        <f aca="false">Algae_electricity_factor/N210</f>
        <v>0.00160792265133761</v>
      </c>
      <c r="AK210" s="220" t="n">
        <f aca="false">Algae_electricity_factor/O210</f>
        <v>0.00154565066195282</v>
      </c>
      <c r="AL210" s="220" t="n">
        <f aca="false">Algae_electricity_factor/P210</f>
        <v>0.00146300693147615</v>
      </c>
      <c r="AM210" s="220" t="n">
        <f aca="false">Algae_electricity_factor/Q210</f>
        <v>0.00136325972826654</v>
      </c>
      <c r="AN210" s="220" t="n">
        <f aca="false">Algae_electricity_factor/R210</f>
        <v>0.00125578632737739</v>
      </c>
      <c r="AO210" s="220" t="n">
        <f aca="false">Algae_electricity_factor/S210</f>
        <v>0.00115326449152201</v>
      </c>
      <c r="AP210" s="220" t="n">
        <f aca="false">Algae_electricity_factor/T210</f>
        <v>0.0010662188592435</v>
      </c>
      <c r="AQ210" s="220" t="n">
        <f aca="false">Algae_electricity_factor/U210</f>
        <v>0.000999328826094432</v>
      </c>
      <c r="AR210" s="220" t="n">
        <f aca="false">Algae_electricity_factor/V210</f>
        <v>0.000951761129978982</v>
      </c>
      <c r="AS210" s="220" t="n">
        <f aca="false">Algae_electricity_factor/W210</f>
        <v>0.000919767877958901</v>
      </c>
      <c r="AT210" s="220" t="n">
        <f aca="false">Algae_electricity_factor/X210</f>
        <v>0.000899048458549753</v>
      </c>
      <c r="AU210" s="220" t="n">
        <f aca="false">Algae_electricity_factor/Y210</f>
        <v>0.000885957011065288</v>
      </c>
      <c r="AV210" s="220" t="n">
        <f aca="false">Algae_electricity_factor/Z210</f>
        <v>0.000877813707618721</v>
      </c>
      <c r="AW210" s="220" t="n">
        <f aca="false">Algae_electricity_factor/AA210</f>
        <v>0.000872797528441985</v>
      </c>
      <c r="AX210" s="220" t="n">
        <f aca="false">Algae_electricity_factor/AB210</f>
        <v>0.000869726184488157</v>
      </c>
      <c r="AY210" s="220" t="n">
        <f aca="false">Algae_electricity_factor/AC210</f>
        <v>0.000867852572587803</v>
      </c>
      <c r="AZ210" s="211" t="n">
        <f aca="false">Algae_yield_cost_factor/H210</f>
        <v>0.0957667162951909</v>
      </c>
      <c r="BA210" s="18" t="n">
        <f aca="false">Algae_yield_cost_factor/I210</f>
        <v>0.0957667162951909</v>
      </c>
      <c r="BB210" s="18" t="n">
        <f aca="false">Algae_yield_cost_factor/J210</f>
        <v>0.0957667162951909</v>
      </c>
      <c r="BC210" s="18" t="n">
        <f aca="false">Algae_yield_cost_factor/K210</f>
        <v>0.0957667162951909</v>
      </c>
      <c r="BD210" s="18" t="n">
        <f aca="false">Algae_yield_cost_factor/L210</f>
        <v>0.0957667162951909</v>
      </c>
      <c r="BE210" s="18" t="n">
        <f aca="false">Algae_yield_cost_factor/M210</f>
        <v>0.0914305429602042</v>
      </c>
      <c r="BF210" s="18" t="n">
        <f aca="false">Algae_yield_cost_factor/N210</f>
        <v>0.0890142567799223</v>
      </c>
      <c r="BG210" s="18" t="n">
        <f aca="false">Algae_yield_cost_factor/O210</f>
        <v>0.0855668926615779</v>
      </c>
      <c r="BH210" s="18" t="n">
        <f aca="false">Algae_yield_cost_factor/P210</f>
        <v>0.0809917532792318</v>
      </c>
      <c r="BI210" s="18" t="n">
        <f aca="false">Algae_yield_cost_factor/Q210</f>
        <v>0.0754697692757146</v>
      </c>
      <c r="BJ210" s="18" t="n">
        <f aca="false">Algae_yield_cost_factor/R210</f>
        <v>0.0695200646081425</v>
      </c>
      <c r="BK210" s="18" t="n">
        <f aca="false">Algae_yield_cost_factor/S210</f>
        <v>0.0638444775301273</v>
      </c>
      <c r="BL210" s="18" t="n">
        <f aca="false">Algae_yield_cost_factor/T210</f>
        <v>0.0590256497981066</v>
      </c>
      <c r="BM210" s="18" t="n">
        <f aca="false">Algae_yield_cost_factor/U210</f>
        <v>0.0553226317569118</v>
      </c>
      <c r="BN210" s="18" t="n">
        <f aca="false">Algae_yield_cost_factor/V210</f>
        <v>0.0526892941937351</v>
      </c>
      <c r="BO210" s="18" t="n">
        <f aca="false">Algae_yield_cost_factor/W210</f>
        <v>0.0509181545508107</v>
      </c>
      <c r="BP210" s="18" t="n">
        <f aca="false">Algae_yield_cost_factor/X210</f>
        <v>0.0497711318889416</v>
      </c>
      <c r="BQ210" s="18" t="n">
        <f aca="false">Algae_yield_cost_factor/Y210</f>
        <v>0.0490463921341819</v>
      </c>
      <c r="BR210" s="18" t="n">
        <f aca="false">Algae_yield_cost_factor/Z210</f>
        <v>0.0485955805833734</v>
      </c>
      <c r="BS210" s="18" t="n">
        <f aca="false">Algae_yield_cost_factor/AA210</f>
        <v>0.048317885968573</v>
      </c>
      <c r="BT210" s="18" t="n">
        <f aca="false">Algae_yield_cost_factor/AB210</f>
        <v>0.0481478570190224</v>
      </c>
      <c r="BU210" s="18" t="n">
        <f aca="false">Algae_yield_cost_factor/AC210</f>
        <v>0.0480441342617957</v>
      </c>
    </row>
    <row r="211" customFormat="false" ht="15" hidden="false" customHeight="false" outlineLevel="0" collapsed="false">
      <c r="A211" s="18" t="s">
        <v>719</v>
      </c>
      <c r="B211" s="18" t="s">
        <v>22</v>
      </c>
      <c r="C211" s="18" t="s">
        <v>685</v>
      </c>
      <c r="D211" s="18" t="s">
        <v>685</v>
      </c>
      <c r="E211" s="185" t="n">
        <v>8.53875</v>
      </c>
      <c r="F211" s="18" t="n">
        <f aca="false">E211/$B$2*$F$3/1000</f>
        <v>0.0209199375</v>
      </c>
      <c r="G211" s="18" t="n">
        <f aca="false">LOOKUP(RIGHT(D211,5),Ref!$C$4:$C$21,Ref!$E$4:$E$21)*$G$3</f>
        <v>4</v>
      </c>
      <c r="H211" s="222" t="n">
        <f aca="false">$E211</f>
        <v>8.53875</v>
      </c>
      <c r="I211" s="185" t="n">
        <f aca="false">$E211</f>
        <v>8.53875</v>
      </c>
      <c r="J211" s="185" t="n">
        <f aca="false">$E211</f>
        <v>8.53875</v>
      </c>
      <c r="K211" s="185" t="n">
        <f aca="false">$E211</f>
        <v>8.53875</v>
      </c>
      <c r="L211" s="185" t="n">
        <f aca="false">$E211</f>
        <v>8.53875</v>
      </c>
      <c r="M211" s="185" t="n">
        <f aca="false">M$3*$E211</f>
        <v>8.94370767459495</v>
      </c>
      <c r="N211" s="185" t="n">
        <f aca="false">N$3*$E211</f>
        <v>9.18648403465639</v>
      </c>
      <c r="O211" s="185" t="n">
        <f aca="false">O$3*$E211</f>
        <v>9.55659395041636</v>
      </c>
      <c r="P211" s="185" t="n">
        <f aca="false">P$3*$E211</f>
        <v>10.0964359414015</v>
      </c>
      <c r="Q211" s="185" t="n">
        <f aca="false">Q$3*$E211</f>
        <v>10.835173561723</v>
      </c>
      <c r="R211" s="185" t="n">
        <f aca="false">R$3*$E211</f>
        <v>11.7624753857002</v>
      </c>
      <c r="S211" s="185" t="n">
        <f aca="false">S$3*$E211</f>
        <v>12.808125</v>
      </c>
      <c r="T211" s="185" t="n">
        <f aca="false">T$3*$E211</f>
        <v>13.8537746142998</v>
      </c>
      <c r="U211" s="185" t="n">
        <f aca="false">U$3*$E211</f>
        <v>14.781076438277</v>
      </c>
      <c r="V211" s="185" t="n">
        <f aca="false">V$3*$E211</f>
        <v>15.5198140585985</v>
      </c>
      <c r="W211" s="185" t="n">
        <f aca="false">W$3*$E211</f>
        <v>16.0596560495836</v>
      </c>
      <c r="X211" s="185" t="n">
        <f aca="false">X$3*$E211</f>
        <v>16.4297659653436</v>
      </c>
      <c r="Y211" s="185" t="n">
        <f aca="false">Y$3*$E211</f>
        <v>16.6725423254051</v>
      </c>
      <c r="Z211" s="185" t="n">
        <f aca="false">Z$3*$E211</f>
        <v>16.8272101896719</v>
      </c>
      <c r="AA211" s="185" t="n">
        <f aca="false">AA$3*$E211</f>
        <v>16.9239202496862</v>
      </c>
      <c r="AB211" s="185" t="n">
        <f aca="false">AB$3*$E211</f>
        <v>16.983685243613</v>
      </c>
      <c r="AC211" s="185" t="n">
        <f aca="false">AC$3*$E211</f>
        <v>17.0203514191703</v>
      </c>
      <c r="AD211" s="219" t="n">
        <f aca="false">Algae_electricity_factor/H211</f>
        <v>0.00160955609468942</v>
      </c>
      <c r="AE211" s="220" t="n">
        <f aca="false">Algae_electricity_factor/I211</f>
        <v>0.00160955609468942</v>
      </c>
      <c r="AF211" s="220" t="n">
        <f aca="false">Algae_electricity_factor/J211</f>
        <v>0.00160955609468942</v>
      </c>
      <c r="AG211" s="220" t="n">
        <f aca="false">Algae_electricity_factor/K211</f>
        <v>0.00160955609468942</v>
      </c>
      <c r="AH211" s="220" t="n">
        <f aca="false">Algae_electricity_factor/L211</f>
        <v>0.00160955609468942</v>
      </c>
      <c r="AI211" s="220" t="n">
        <f aca="false">Algae_electricity_factor/M211</f>
        <v>0.00153667780785911</v>
      </c>
      <c r="AJ211" s="220" t="n">
        <f aca="false">Algae_electricity_factor/N211</f>
        <v>0.00149606716254891</v>
      </c>
      <c r="AK211" s="220" t="n">
        <f aca="false">Algae_electricity_factor/O211</f>
        <v>0.00143812713764306</v>
      </c>
      <c r="AL211" s="220" t="n">
        <f aca="false">Algae_electricity_factor/P211</f>
        <v>0.00136123253624303</v>
      </c>
      <c r="AM211" s="220" t="n">
        <f aca="false">Algae_electricity_factor/Q211</f>
        <v>0.00126842426890887</v>
      </c>
      <c r="AN211" s="220" t="n">
        <f aca="false">Algae_electricity_factor/R211</f>
        <v>0.00116842727851636</v>
      </c>
      <c r="AO211" s="220" t="n">
        <f aca="false">Algae_electricity_factor/S211</f>
        <v>0.00107303739645961</v>
      </c>
      <c r="AP211" s="220" t="n">
        <f aca="false">Algae_electricity_factor/T211</f>
        <v>0.00099204711251352</v>
      </c>
      <c r="AQ211" s="220" t="n">
        <f aca="false">Algae_electricity_factor/U211</f>
        <v>0.000929810299061776</v>
      </c>
      <c r="AR211" s="220" t="n">
        <f aca="false">Algae_electricity_factor/V211</f>
        <v>0.000885551660067401</v>
      </c>
      <c r="AS211" s="220" t="n">
        <f aca="false">Algae_electricity_factor/W211</f>
        <v>0.000855784025579152</v>
      </c>
      <c r="AT211" s="220" t="n">
        <f aca="false">Algae_electricity_factor/X211</f>
        <v>0.000836505957085423</v>
      </c>
      <c r="AU211" s="220" t="n">
        <f aca="false">Algae_electricity_factor/Y211</f>
        <v>0.000824325218991181</v>
      </c>
      <c r="AV211" s="220" t="n">
        <f aca="false">Algae_electricity_factor/Z211</f>
        <v>0.000816748406219158</v>
      </c>
      <c r="AW211" s="220" t="n">
        <f aca="false">Algae_electricity_factor/AA211</f>
        <v>0.000812081178637325</v>
      </c>
      <c r="AX211" s="220" t="n">
        <f aca="false">Algae_electricity_factor/AB211</f>
        <v>0.000809223493393329</v>
      </c>
      <c r="AY211" s="220" t="n">
        <f aca="false">Algae_electricity_factor/AC211</f>
        <v>0.00080748021971213</v>
      </c>
      <c r="AZ211" s="211" t="n">
        <f aca="false">Algae_yield_cost_factor/H211</f>
        <v>0.0891046838572646</v>
      </c>
      <c r="BA211" s="18" t="n">
        <f aca="false">Algae_yield_cost_factor/I211</f>
        <v>0.0891046838572646</v>
      </c>
      <c r="BB211" s="18" t="n">
        <f aca="false">Algae_yield_cost_factor/J211</f>
        <v>0.0891046838572646</v>
      </c>
      <c r="BC211" s="18" t="n">
        <f aca="false">Algae_yield_cost_factor/K211</f>
        <v>0.0891046838572646</v>
      </c>
      <c r="BD211" s="18" t="n">
        <f aca="false">Algae_yield_cost_factor/L211</f>
        <v>0.0891046838572646</v>
      </c>
      <c r="BE211" s="18" t="n">
        <f aca="false">Algae_yield_cost_factor/M211</f>
        <v>0.0850701573629726</v>
      </c>
      <c r="BF211" s="18" t="n">
        <f aca="false">Algae_yield_cost_factor/N211</f>
        <v>0.0828219606561017</v>
      </c>
      <c r="BG211" s="18" t="n">
        <f aca="false">Algae_yield_cost_factor/O211</f>
        <v>0.0796144131720769</v>
      </c>
      <c r="BH211" s="18" t="n">
        <f aca="false">Algae_yield_cost_factor/P211</f>
        <v>0.0753575443554592</v>
      </c>
      <c r="BI211" s="18" t="n">
        <f aca="false">Algae_yield_cost_factor/Q211</f>
        <v>0.070219698369578</v>
      </c>
      <c r="BJ211" s="18" t="n">
        <f aca="false">Algae_yield_cost_factor/R211</f>
        <v>0.0646838862006195</v>
      </c>
      <c r="BK211" s="18" t="n">
        <f aca="false">Algae_yield_cost_factor/S211</f>
        <v>0.0594031225715097</v>
      </c>
      <c r="BL211" s="18" t="n">
        <f aca="false">Algae_yield_cost_factor/T211</f>
        <v>0.0549195176382383</v>
      </c>
      <c r="BM211" s="18" t="n">
        <f aca="false">Algae_yield_cost_factor/U211</f>
        <v>0.0514741008520832</v>
      </c>
      <c r="BN211" s="18" t="n">
        <f aca="false">Algae_yield_cost_factor/V211</f>
        <v>0.0490239519889536</v>
      </c>
      <c r="BO211" s="18" t="n">
        <f aca="false">Algae_yield_cost_factor/W211</f>
        <v>0.0473760220603195</v>
      </c>
      <c r="BP211" s="18" t="n">
        <f aca="false">Algae_yield_cost_factor/X211</f>
        <v>0.0463087922792761</v>
      </c>
      <c r="BQ211" s="18" t="n">
        <f aca="false">Algae_yield_cost_factor/Y211</f>
        <v>0.0456344692031084</v>
      </c>
      <c r="BR211" s="18" t="n">
        <f aca="false">Algae_yield_cost_factor/Z211</f>
        <v>0.0452150184558344</v>
      </c>
      <c r="BS211" s="18" t="n">
        <f aca="false">Algae_yield_cost_factor/AA211</f>
        <v>0.044956641727281</v>
      </c>
      <c r="BT211" s="18" t="n">
        <f aca="false">Algae_yield_cost_factor/AB211</f>
        <v>0.0447984408785687</v>
      </c>
      <c r="BU211" s="18" t="n">
        <f aca="false">Algae_yield_cost_factor/AC211</f>
        <v>0.0447019336174969</v>
      </c>
    </row>
    <row r="212" customFormat="false" ht="15" hidden="false" customHeight="false" outlineLevel="0" collapsed="false">
      <c r="A212" s="18" t="s">
        <v>719</v>
      </c>
      <c r="B212" s="18" t="s">
        <v>22</v>
      </c>
      <c r="C212" s="18" t="s">
        <v>686</v>
      </c>
      <c r="D212" s="18" t="s">
        <v>686</v>
      </c>
      <c r="E212" s="185" t="n">
        <v>7.86225</v>
      </c>
      <c r="F212" s="18" t="n">
        <f aca="false">E212/$B$2*$F$3/1000</f>
        <v>0.0192625125</v>
      </c>
      <c r="G212" s="18" t="n">
        <f aca="false">LOOKUP(RIGHT(D212,5),Ref!$C$4:$C$21,Ref!$E$4:$E$21)*$G$3</f>
        <v>4.5</v>
      </c>
      <c r="H212" s="222" t="n">
        <f aca="false">$E212</f>
        <v>7.86225</v>
      </c>
      <c r="I212" s="185" t="n">
        <f aca="false">$E212</f>
        <v>7.86225</v>
      </c>
      <c r="J212" s="185" t="n">
        <f aca="false">$E212</f>
        <v>7.86225</v>
      </c>
      <c r="K212" s="185" t="n">
        <f aca="false">$E212</f>
        <v>7.86225</v>
      </c>
      <c r="L212" s="185" t="n">
        <f aca="false">$E212</f>
        <v>7.86225</v>
      </c>
      <c r="M212" s="185" t="n">
        <f aca="false">M$3*$E212</f>
        <v>8.23512407139032</v>
      </c>
      <c r="N212" s="185" t="n">
        <f aca="false">N$3*$E212</f>
        <v>8.45866597587202</v>
      </c>
      <c r="O212" s="185" t="n">
        <f aca="false">O$3*$E212</f>
        <v>8.79945317366839</v>
      </c>
      <c r="P212" s="185" t="n">
        <f aca="false">P$3*$E212</f>
        <v>9.29652507454652</v>
      </c>
      <c r="Q212" s="185" t="n">
        <f aca="false">Q$3*$E212</f>
        <v>9.97673469016624</v>
      </c>
      <c r="R212" s="185" t="n">
        <f aca="false">R$3*$E212</f>
        <v>10.8305691232582</v>
      </c>
      <c r="S212" s="185" t="n">
        <f aca="false">S$3*$E212</f>
        <v>11.793375</v>
      </c>
      <c r="T212" s="185" t="n">
        <f aca="false">T$3*$E212</f>
        <v>12.7561808767418</v>
      </c>
      <c r="U212" s="185" t="n">
        <f aca="false">U$3*$E212</f>
        <v>13.6100153098338</v>
      </c>
      <c r="V212" s="185" t="n">
        <f aca="false">V$3*$E212</f>
        <v>14.2902249254535</v>
      </c>
      <c r="W212" s="185" t="n">
        <f aca="false">W$3*$E212</f>
        <v>14.7872968263316</v>
      </c>
      <c r="X212" s="185" t="n">
        <f aca="false">X$3*$E212</f>
        <v>15.128084024128</v>
      </c>
      <c r="Y212" s="185" t="n">
        <f aca="false">Y$3*$E212</f>
        <v>15.3516259286097</v>
      </c>
      <c r="Z212" s="185" t="n">
        <f aca="false">Z$3*$E212</f>
        <v>15.4940399137751</v>
      </c>
      <c r="AA212" s="185" t="n">
        <f aca="false">AA$3*$E212</f>
        <v>15.5830879207255</v>
      </c>
      <c r="AB212" s="185" t="n">
        <f aca="false">AB$3*$E212</f>
        <v>15.6381179103026</v>
      </c>
      <c r="AC212" s="185" t="n">
        <f aca="false">AC$3*$E212</f>
        <v>15.6718791328205</v>
      </c>
      <c r="AD212" s="219" t="n">
        <f aca="false">Algae_electricity_factor/H212</f>
        <v>0.00174804885414853</v>
      </c>
      <c r="AE212" s="220" t="n">
        <f aca="false">Algae_electricity_factor/I212</f>
        <v>0.00174804885414853</v>
      </c>
      <c r="AF212" s="220" t="n">
        <f aca="false">Algae_electricity_factor/J212</f>
        <v>0.00174804885414853</v>
      </c>
      <c r="AG212" s="220" t="n">
        <f aca="false">Algae_electricity_factor/K212</f>
        <v>0.00174804885414853</v>
      </c>
      <c r="AH212" s="220" t="n">
        <f aca="false">Algae_electricity_factor/L212</f>
        <v>0.00174804885414853</v>
      </c>
      <c r="AI212" s="220" t="n">
        <f aca="false">Algae_electricity_factor/M212</f>
        <v>0.00166889982280606</v>
      </c>
      <c r="AJ212" s="220" t="n">
        <f aca="false">Algae_electricity_factor/N212</f>
        <v>0.00162479487223308</v>
      </c>
      <c r="AK212" s="220" t="n">
        <f aca="false">Algae_electricity_factor/O212</f>
        <v>0.00156186945169</v>
      </c>
      <c r="AL212" s="220" t="n">
        <f aca="false">Algae_electricity_factor/P212</f>
        <v>0.00147835852572039</v>
      </c>
      <c r="AM212" s="220" t="n">
        <f aca="false">Algae_electricity_factor/Q212</f>
        <v>0.00137756465720953</v>
      </c>
      <c r="AN212" s="220" t="n">
        <f aca="false">Algae_electricity_factor/R212</f>
        <v>0.00126896351864053</v>
      </c>
      <c r="AO212" s="220" t="n">
        <f aca="false">Algae_electricity_factor/S212</f>
        <v>0.00116536590276568</v>
      </c>
      <c r="AP212" s="220" t="n">
        <f aca="false">Algae_electricity_factor/T212</f>
        <v>0.00107740688504879</v>
      </c>
      <c r="AQ212" s="220" t="n">
        <f aca="false">Algae_electricity_factor/U212</f>
        <v>0.00100981496277958</v>
      </c>
      <c r="AR212" s="220" t="n">
        <f aca="false">Algae_electricity_factor/V212</f>
        <v>0.000961748130293557</v>
      </c>
      <c r="AS212" s="220" t="n">
        <f aca="false">Algae_electricity_factor/W212</f>
        <v>0.000929419167339372</v>
      </c>
      <c r="AT212" s="220" t="n">
        <f aca="false">Algae_electricity_factor/X212</f>
        <v>0.000908482335344609</v>
      </c>
      <c r="AU212" s="220" t="n">
        <f aca="false">Algae_electricity_factor/Y212</f>
        <v>0.000895253516952647</v>
      </c>
      <c r="AV212" s="220" t="n">
        <f aca="false">Algae_electricity_factor/Z212</f>
        <v>0.000887024764361835</v>
      </c>
      <c r="AW212" s="220" t="n">
        <f aca="false">Algae_electricity_factor/AA212</f>
        <v>0.000881955949516927</v>
      </c>
      <c r="AX212" s="220" t="n">
        <f aca="false">Algae_electricity_factor/AB212</f>
        <v>0.00087885237739989</v>
      </c>
      <c r="AY212" s="220" t="n">
        <f aca="false">Algae_electricity_factor/AC212</f>
        <v>0.000876959105353677</v>
      </c>
      <c r="AZ212" s="211" t="n">
        <f aca="false">Algae_yield_cost_factor/H212</f>
        <v>0.0967716136330208</v>
      </c>
      <c r="BA212" s="18" t="n">
        <f aca="false">Algae_yield_cost_factor/I212</f>
        <v>0.0967716136330208</v>
      </c>
      <c r="BB212" s="18" t="n">
        <f aca="false">Algae_yield_cost_factor/J212</f>
        <v>0.0967716136330208</v>
      </c>
      <c r="BC212" s="18" t="n">
        <f aca="false">Algae_yield_cost_factor/K212</f>
        <v>0.0967716136330208</v>
      </c>
      <c r="BD212" s="18" t="n">
        <f aca="false">Algae_yield_cost_factor/L212</f>
        <v>0.0967716136330208</v>
      </c>
      <c r="BE212" s="18" t="n">
        <f aca="false">Algae_yield_cost_factor/M212</f>
        <v>0.0923899400531759</v>
      </c>
      <c r="BF212" s="18" t="n">
        <f aca="false">Algae_yield_cost_factor/N212</f>
        <v>0.089948299348442</v>
      </c>
      <c r="BG212" s="18" t="n">
        <f aca="false">Algae_yield_cost_factor/O212</f>
        <v>0.0864647614198316</v>
      </c>
      <c r="BH212" s="18" t="n">
        <f aca="false">Algae_yield_cost_factor/P212</f>
        <v>0.0818416142790139</v>
      </c>
      <c r="BI212" s="18" t="n">
        <f aca="false">Algae_yield_cost_factor/Q212</f>
        <v>0.0762616871065196</v>
      </c>
      <c r="BJ212" s="18" t="n">
        <f aca="false">Algae_yield_cost_factor/R212</f>
        <v>0.0702495511202951</v>
      </c>
      <c r="BK212" s="18" t="n">
        <f aca="false">Algae_yield_cost_factor/S212</f>
        <v>0.0645144090886805</v>
      </c>
      <c r="BL212" s="18" t="n">
        <f aca="false">Algae_yield_cost_factor/T212</f>
        <v>0.0596450165326093</v>
      </c>
      <c r="BM212" s="18" t="n">
        <f aca="false">Algae_yield_cost_factor/U212</f>
        <v>0.0559031420586632</v>
      </c>
      <c r="BN212" s="18" t="n">
        <f aca="false">Algae_yield_cost_factor/V212</f>
        <v>0.0532421724119275</v>
      </c>
      <c r="BO212" s="18" t="n">
        <f aca="false">Algae_yield_cost_factor/W212</f>
        <v>0.0514524478829283</v>
      </c>
      <c r="BP212" s="18" t="n">
        <f aca="false">Algae_yield_cost_factor/X212</f>
        <v>0.0502933893064541</v>
      </c>
      <c r="BQ212" s="18" t="n">
        <f aca="false">Algae_yield_cost_factor/Y212</f>
        <v>0.0495610447274052</v>
      </c>
      <c r="BR212" s="18" t="n">
        <f aca="false">Algae_yield_cost_factor/Z212</f>
        <v>0.0491055027301035</v>
      </c>
      <c r="BS212" s="18" t="n">
        <f aca="false">Algae_yield_cost_factor/AA212</f>
        <v>0.0488248942158823</v>
      </c>
      <c r="BT212" s="18" t="n">
        <f aca="false">Algae_yield_cost_factor/AB212</f>
        <v>0.0486530811220552</v>
      </c>
      <c r="BU212" s="18" t="n">
        <f aca="false">Algae_yield_cost_factor/AC212</f>
        <v>0.0485482699833256</v>
      </c>
    </row>
    <row r="213" customFormat="false" ht="15" hidden="false" customHeight="false" outlineLevel="0" collapsed="false">
      <c r="A213" s="18" t="s">
        <v>719</v>
      </c>
      <c r="B213" s="18" t="s">
        <v>22</v>
      </c>
      <c r="C213" s="18" t="s">
        <v>687</v>
      </c>
      <c r="D213" s="18" t="s">
        <v>687</v>
      </c>
      <c r="E213" s="185" t="n">
        <v>7.87875</v>
      </c>
      <c r="F213" s="18" t="n">
        <f aca="false">E213/$B$2*$F$3/1000</f>
        <v>0.0193029375</v>
      </c>
      <c r="G213" s="18" t="n">
        <f aca="false">LOOKUP(RIGHT(D213,5),Ref!$C$4:$C$21,Ref!$E$4:$E$21)*$G$3</f>
        <v>4.5</v>
      </c>
      <c r="H213" s="222" t="n">
        <f aca="false">$E213</f>
        <v>7.87875</v>
      </c>
      <c r="I213" s="185" t="n">
        <f aca="false">$E213</f>
        <v>7.87875</v>
      </c>
      <c r="J213" s="185" t="n">
        <f aca="false">$E213</f>
        <v>7.87875</v>
      </c>
      <c r="K213" s="185" t="n">
        <f aca="false">$E213</f>
        <v>7.87875</v>
      </c>
      <c r="L213" s="185" t="n">
        <f aca="false">$E213</f>
        <v>7.87875</v>
      </c>
      <c r="M213" s="185" t="n">
        <f aca="false">M$3*$E213</f>
        <v>8.25240659829775</v>
      </c>
      <c r="N213" s="185" t="n">
        <f aca="false">N$3*$E213</f>
        <v>8.47641763584237</v>
      </c>
      <c r="O213" s="185" t="n">
        <f aca="false">O$3*$E213</f>
        <v>8.81792002188176</v>
      </c>
      <c r="P213" s="185" t="n">
        <f aca="false">P$3*$E213</f>
        <v>9.31603509568933</v>
      </c>
      <c r="Q213" s="185" t="n">
        <f aca="false">Q$3*$E213</f>
        <v>9.99767222361885</v>
      </c>
      <c r="R213" s="185" t="n">
        <f aca="false">R$3*$E213</f>
        <v>10.8532985442934</v>
      </c>
      <c r="S213" s="185" t="n">
        <f aca="false">S$3*$E213</f>
        <v>11.818125</v>
      </c>
      <c r="T213" s="185" t="n">
        <f aca="false">T$3*$E213</f>
        <v>12.7829514557066</v>
      </c>
      <c r="U213" s="185" t="n">
        <f aca="false">U$3*$E213</f>
        <v>13.6385777763811</v>
      </c>
      <c r="V213" s="185" t="n">
        <f aca="false">V$3*$E213</f>
        <v>14.3202149043107</v>
      </c>
      <c r="W213" s="185" t="n">
        <f aca="false">W$3*$E213</f>
        <v>14.8183299781182</v>
      </c>
      <c r="X213" s="185" t="n">
        <f aca="false">X$3*$E213</f>
        <v>15.1598323641576</v>
      </c>
      <c r="Y213" s="185" t="n">
        <f aca="false">Y$3*$E213</f>
        <v>15.3838434017022</v>
      </c>
      <c r="Z213" s="185" t="n">
        <f aca="false">Z$3*$E213</f>
        <v>15.5265562619678</v>
      </c>
      <c r="AA213" s="185" t="n">
        <f aca="false">AA$3*$E213</f>
        <v>15.6157911482612</v>
      </c>
      <c r="AB213" s="185" t="n">
        <f aca="false">AB$3*$E213</f>
        <v>15.6709366257492</v>
      </c>
      <c r="AC213" s="185" t="n">
        <f aca="false">AC$3*$E213</f>
        <v>15.7047687007803</v>
      </c>
      <c r="AD213" s="219" t="n">
        <f aca="false">Algae_electricity_factor/H213</f>
        <v>0.00174438801885188</v>
      </c>
      <c r="AE213" s="220" t="n">
        <f aca="false">Algae_electricity_factor/I213</f>
        <v>0.00174438801885188</v>
      </c>
      <c r="AF213" s="220" t="n">
        <f aca="false">Algae_electricity_factor/J213</f>
        <v>0.00174438801885188</v>
      </c>
      <c r="AG213" s="220" t="n">
        <f aca="false">Algae_electricity_factor/K213</f>
        <v>0.00174438801885188</v>
      </c>
      <c r="AH213" s="220" t="n">
        <f aca="false">Algae_electricity_factor/L213</f>
        <v>0.00174438801885188</v>
      </c>
      <c r="AI213" s="220" t="n">
        <f aca="false">Algae_electricity_factor/M213</f>
        <v>0.00166540474464312</v>
      </c>
      <c r="AJ213" s="220" t="n">
        <f aca="false">Algae_electricity_factor/N213</f>
        <v>0.00162139216045877</v>
      </c>
      <c r="AK213" s="220" t="n">
        <f aca="false">Algae_electricity_factor/O213</f>
        <v>0.00155859852090112</v>
      </c>
      <c r="AL213" s="220" t="n">
        <f aca="false">Algae_electricity_factor/P213</f>
        <v>0.00147526248692307</v>
      </c>
      <c r="AM213" s="220" t="n">
        <f aca="false">Algae_electricity_factor/Q213</f>
        <v>0.00137467970504783</v>
      </c>
      <c r="AN213" s="220" t="n">
        <f aca="false">Algae_electricity_factor/R213</f>
        <v>0.00126630600341825</v>
      </c>
      <c r="AO213" s="220" t="n">
        <f aca="false">Algae_electricity_factor/S213</f>
        <v>0.00116292534590125</v>
      </c>
      <c r="AP213" s="220" t="n">
        <f aca="false">Algae_electricity_factor/T213</f>
        <v>0.0010751505355513</v>
      </c>
      <c r="AQ213" s="220" t="n">
        <f aca="false">Algae_electricity_factor/U213</f>
        <v>0.00100770016704601</v>
      </c>
      <c r="AR213" s="220" t="n">
        <f aca="false">Algae_electricity_factor/V213</f>
        <v>0.000959733998083518</v>
      </c>
      <c r="AS213" s="220" t="n">
        <f aca="false">Algae_electricity_factor/W213</f>
        <v>0.000927472739763792</v>
      </c>
      <c r="AT213" s="220" t="n">
        <f aca="false">Algae_electricity_factor/X213</f>
        <v>0.000906579754537605</v>
      </c>
      <c r="AU213" s="220" t="n">
        <f aca="false">Algae_electricity_factor/Y213</f>
        <v>0.000893378640477354</v>
      </c>
      <c r="AV213" s="220" t="n">
        <f aca="false">Algae_electricity_factor/Z213</f>
        <v>0.00088516712087626</v>
      </c>
      <c r="AW213" s="220" t="n">
        <f aca="false">Algae_electricity_factor/AA213</f>
        <v>0.0008801089213504</v>
      </c>
      <c r="AX213" s="220" t="n">
        <f aca="false">Algae_electricity_factor/AB213</f>
        <v>0.000877011848860833</v>
      </c>
      <c r="AY213" s="220" t="n">
        <f aca="false">Algae_electricity_factor/AC213</f>
        <v>0.000875122541782256</v>
      </c>
      <c r="AZ213" s="211" t="n">
        <f aca="false">Algae_yield_cost_factor/H213</f>
        <v>0.0965689505678208</v>
      </c>
      <c r="BA213" s="18" t="n">
        <f aca="false">Algae_yield_cost_factor/I213</f>
        <v>0.0965689505678208</v>
      </c>
      <c r="BB213" s="18" t="n">
        <f aca="false">Algae_yield_cost_factor/J213</f>
        <v>0.0965689505678208</v>
      </c>
      <c r="BC213" s="18" t="n">
        <f aca="false">Algae_yield_cost_factor/K213</f>
        <v>0.0965689505678208</v>
      </c>
      <c r="BD213" s="18" t="n">
        <f aca="false">Algae_yield_cost_factor/L213</f>
        <v>0.0965689505678208</v>
      </c>
      <c r="BE213" s="18" t="n">
        <f aca="false">Algae_yield_cost_factor/M213</f>
        <v>0.0921964532677242</v>
      </c>
      <c r="BF213" s="18" t="n">
        <f aca="false">Algae_yield_cost_factor/N213</f>
        <v>0.0897599259466652</v>
      </c>
      <c r="BG213" s="18" t="n">
        <f aca="false">Algae_yield_cost_factor/O213</f>
        <v>0.0862836833854445</v>
      </c>
      <c r="BH213" s="18" t="n">
        <f aca="false">Algae_yield_cost_factor/P213</f>
        <v>0.0816702182281678</v>
      </c>
      <c r="BI213" s="18" t="n">
        <f aca="false">Algae_yield_cost_factor/Q213</f>
        <v>0.0761019767670295</v>
      </c>
      <c r="BJ213" s="18" t="n">
        <f aca="false">Algae_yield_cost_factor/R213</f>
        <v>0.0701024316415091</v>
      </c>
      <c r="BK213" s="18" t="n">
        <f aca="false">Algae_yield_cost_factor/S213</f>
        <v>0.0643793003785472</v>
      </c>
      <c r="BL213" s="18" t="n">
        <f aca="false">Algae_yield_cost_factor/T213</f>
        <v>0.0595201055032216</v>
      </c>
      <c r="BM213" s="18" t="n">
        <f aca="false">Algae_yield_cost_factor/U213</f>
        <v>0.0557860674156084</v>
      </c>
      <c r="BN213" s="18" t="n">
        <f aca="false">Algae_yield_cost_factor/V213</f>
        <v>0.0531306704801748</v>
      </c>
      <c r="BO213" s="18" t="n">
        <f aca="false">Algae_yield_cost_factor/W213</f>
        <v>0.0513446940653724</v>
      </c>
      <c r="BP213" s="18" t="n">
        <f aca="false">Algae_yield_cost_factor/X213</f>
        <v>0.0501880628367024</v>
      </c>
      <c r="BQ213" s="18" t="n">
        <f aca="false">Algae_yield_cost_factor/Y213</f>
        <v>0.0494572519635782</v>
      </c>
      <c r="BR213" s="18" t="n">
        <f aca="false">Algae_yield_cost_factor/Z213</f>
        <v>0.0490026639809305</v>
      </c>
      <c r="BS213" s="18" t="n">
        <f aca="false">Algae_yield_cost_factor/AA213</f>
        <v>0.0487226431285192</v>
      </c>
      <c r="BT213" s="18" t="n">
        <f aca="false">Algae_yield_cost_factor/AB213</f>
        <v>0.0485511898526897</v>
      </c>
      <c r="BU213" s="18" t="n">
        <f aca="false">Algae_yield_cost_factor/AC213</f>
        <v>0.048446598213727</v>
      </c>
    </row>
    <row r="214" customFormat="false" ht="15" hidden="false" customHeight="false" outlineLevel="0" collapsed="false">
      <c r="A214" s="18" t="s">
        <v>719</v>
      </c>
      <c r="B214" s="18" t="s">
        <v>22</v>
      </c>
      <c r="C214" s="18" t="s">
        <v>688</v>
      </c>
      <c r="D214" s="18" t="s">
        <v>688</v>
      </c>
      <c r="E214" s="185" t="n">
        <v>8.58</v>
      </c>
      <c r="F214" s="18" t="n">
        <f aca="false">E214/$B$2*$F$3/1000</f>
        <v>0.021021</v>
      </c>
      <c r="G214" s="18" t="n">
        <f aca="false">LOOKUP(RIGHT(D214,5),Ref!$C$4:$C$21,Ref!$E$4:$E$21)*$G$3</f>
        <v>4.5</v>
      </c>
      <c r="H214" s="222" t="n">
        <f aca="false">$E214</f>
        <v>8.58</v>
      </c>
      <c r="I214" s="185" t="n">
        <f aca="false">$E214</f>
        <v>8.58</v>
      </c>
      <c r="J214" s="185" t="n">
        <f aca="false">$E214</f>
        <v>8.58</v>
      </c>
      <c r="K214" s="185" t="n">
        <f aca="false">$E214</f>
        <v>8.58</v>
      </c>
      <c r="L214" s="185" t="n">
        <f aca="false">$E214</f>
        <v>8.58</v>
      </c>
      <c r="M214" s="185" t="n">
        <f aca="false">M$3*$E214</f>
        <v>8.98691399186352</v>
      </c>
      <c r="N214" s="185" t="n">
        <f aca="false">N$3*$E214</f>
        <v>9.23086318458227</v>
      </c>
      <c r="O214" s="185" t="n">
        <f aca="false">O$3*$E214</f>
        <v>9.60276107094977</v>
      </c>
      <c r="P214" s="185" t="n">
        <f aca="false">P$3*$E214</f>
        <v>10.1452109942585</v>
      </c>
      <c r="Q214" s="185" t="n">
        <f aca="false">Q$3*$E214</f>
        <v>10.8875173953546</v>
      </c>
      <c r="R214" s="185" t="n">
        <f aca="false">R$3*$E214</f>
        <v>11.8192989382881</v>
      </c>
      <c r="S214" s="185" t="n">
        <f aca="false">S$3*$E214</f>
        <v>12.87</v>
      </c>
      <c r="T214" s="185" t="n">
        <f aca="false">T$3*$E214</f>
        <v>13.9207010617119</v>
      </c>
      <c r="U214" s="185" t="n">
        <f aca="false">U$3*$E214</f>
        <v>14.8524826046454</v>
      </c>
      <c r="V214" s="185" t="n">
        <f aca="false">V$3*$E214</f>
        <v>15.5947890057415</v>
      </c>
      <c r="W214" s="185" t="n">
        <f aca="false">W$3*$E214</f>
        <v>16.1372389290502</v>
      </c>
      <c r="X214" s="185" t="n">
        <f aca="false">X$3*$E214</f>
        <v>16.5091368154177</v>
      </c>
      <c r="Y214" s="185" t="n">
        <f aca="false">Y$3*$E214</f>
        <v>16.7530860081365</v>
      </c>
      <c r="Z214" s="185" t="n">
        <f aca="false">Z$3*$E214</f>
        <v>16.9085010601534</v>
      </c>
      <c r="AA214" s="185" t="n">
        <f aca="false">AA$3*$E214</f>
        <v>17.0056783185253</v>
      </c>
      <c r="AB214" s="185" t="n">
        <f aca="false">AB$3*$E214</f>
        <v>17.0657320322295</v>
      </c>
      <c r="AC214" s="185" t="n">
        <f aca="false">AC$3*$E214</f>
        <v>17.1025753390696</v>
      </c>
      <c r="AD214" s="219" t="n">
        <f aca="false">Algae_electricity_factor/H214</f>
        <v>0.00160181784423418</v>
      </c>
      <c r="AE214" s="220" t="n">
        <f aca="false">Algae_electricity_factor/I214</f>
        <v>0.00160181784423418</v>
      </c>
      <c r="AF214" s="220" t="n">
        <f aca="false">Algae_electricity_factor/J214</f>
        <v>0.00160181784423418</v>
      </c>
      <c r="AG214" s="220" t="n">
        <f aca="false">Algae_electricity_factor/K214</f>
        <v>0.00160181784423418</v>
      </c>
      <c r="AH214" s="220" t="n">
        <f aca="false">Algae_electricity_factor/L214</f>
        <v>0.00160181784423418</v>
      </c>
      <c r="AI214" s="220" t="n">
        <f aca="false">Algae_electricity_factor/M214</f>
        <v>0.00152928993378286</v>
      </c>
      <c r="AJ214" s="220" t="n">
        <f aca="false">Algae_electricity_factor/N214</f>
        <v>0.00148887453195973</v>
      </c>
      <c r="AK214" s="220" t="n">
        <f aca="false">Algae_electricity_factor/O214</f>
        <v>0.00143121306486593</v>
      </c>
      <c r="AL214" s="220" t="n">
        <f aca="false">Algae_electricity_factor/P214</f>
        <v>0.00135468814904955</v>
      </c>
      <c r="AM214" s="220" t="n">
        <f aca="false">Algae_electricity_factor/Q214</f>
        <v>0.00126232607530835</v>
      </c>
      <c r="AN214" s="220" t="n">
        <f aca="false">Algae_electricity_factor/R214</f>
        <v>0.00116280983967733</v>
      </c>
      <c r="AO214" s="220" t="n">
        <f aca="false">Algae_electricity_factor/S214</f>
        <v>0.00106787856282279</v>
      </c>
      <c r="AP214" s="220" t="n">
        <f aca="false">Algae_electricity_factor/T214</f>
        <v>0.000987277655241821</v>
      </c>
      <c r="AQ214" s="220" t="n">
        <f aca="false">Algae_electricity_factor/U214</f>
        <v>0.000925340057239363</v>
      </c>
      <c r="AR214" s="220" t="n">
        <f aca="false">Algae_electricity_factor/V214</f>
        <v>0.00088129420016323</v>
      </c>
      <c r="AS214" s="220" t="n">
        <f aca="false">Algae_electricity_factor/W214</f>
        <v>0.000851669679302328</v>
      </c>
      <c r="AT214" s="220" t="n">
        <f aca="false">Algae_electricity_factor/X214</f>
        <v>0.000832484293830204</v>
      </c>
      <c r="AU214" s="220" t="n">
        <f aca="false">Algae_electricity_factor/Y214</f>
        <v>0.000820362116976801</v>
      </c>
      <c r="AV214" s="220" t="n">
        <f aca="false">Algae_electricity_factor/Z214</f>
        <v>0.000812821731189258</v>
      </c>
      <c r="AW214" s="220" t="n">
        <f aca="false">Algae_electricity_factor/AA214</f>
        <v>0.000808176942201569</v>
      </c>
      <c r="AX214" s="220" t="n">
        <f aca="false">Algae_electricity_factor/AB214</f>
        <v>0.000805332995828938</v>
      </c>
      <c r="AY214" s="220" t="n">
        <f aca="false">Algae_electricity_factor/AC214</f>
        <v>0.000803598103271206</v>
      </c>
      <c r="AZ214" s="211" t="n">
        <f aca="false">Algae_yield_cost_factor/H214</f>
        <v>0.0886762959541046</v>
      </c>
      <c r="BA214" s="18" t="n">
        <f aca="false">Algae_yield_cost_factor/I214</f>
        <v>0.0886762959541046</v>
      </c>
      <c r="BB214" s="18" t="n">
        <f aca="false">Algae_yield_cost_factor/J214</f>
        <v>0.0886762959541046</v>
      </c>
      <c r="BC214" s="18" t="n">
        <f aca="false">Algae_yield_cost_factor/K214</f>
        <v>0.0886762959541046</v>
      </c>
      <c r="BD214" s="18" t="n">
        <f aca="false">Algae_yield_cost_factor/L214</f>
        <v>0.0886762959541046</v>
      </c>
      <c r="BE214" s="18" t="n">
        <f aca="false">Algae_yield_cost_factor/M214</f>
        <v>0.0846611662218044</v>
      </c>
      <c r="BF214" s="18" t="n">
        <f aca="false">Algae_yield_cost_factor/N214</f>
        <v>0.0824237781529473</v>
      </c>
      <c r="BG214" s="18" t="n">
        <f aca="false">Algae_yield_cost_factor/O214</f>
        <v>0.079231651570288</v>
      </c>
      <c r="BH214" s="18" t="n">
        <f aca="false">Algae_yield_cost_factor/P214</f>
        <v>0.0749952484691349</v>
      </c>
      <c r="BI214" s="18" t="n">
        <f aca="false">Algae_yield_cost_factor/Q214</f>
        <v>0.0698821036658781</v>
      </c>
      <c r="BJ214" s="18" t="n">
        <f aca="false">Algae_yield_cost_factor/R214</f>
        <v>0.0643729059785012</v>
      </c>
      <c r="BK214" s="18" t="n">
        <f aca="false">Algae_yield_cost_factor/S214</f>
        <v>0.0591175306360698</v>
      </c>
      <c r="BL214" s="18" t="n">
        <f aca="false">Algae_yield_cost_factor/T214</f>
        <v>0.0546554814957468</v>
      </c>
      <c r="BM214" s="18" t="n">
        <f aca="false">Algae_yield_cost_factor/U214</f>
        <v>0.0512266292133712</v>
      </c>
      <c r="BN214" s="18" t="n">
        <f aca="false">Algae_yield_cost_factor/V214</f>
        <v>0.0487882599120836</v>
      </c>
      <c r="BO214" s="18" t="n">
        <f aca="false">Algae_yield_cost_factor/W214</f>
        <v>0.047148252723491</v>
      </c>
      <c r="BP214" s="18" t="n">
        <f aca="false">Algae_yield_cost_factor/X214</f>
        <v>0.0460861538548565</v>
      </c>
      <c r="BQ214" s="18" t="n">
        <f aca="false">Algae_yield_cost_factor/Y214</f>
        <v>0.045415072716555</v>
      </c>
      <c r="BR214" s="18" t="n">
        <f aca="false">Algae_yield_cost_factor/Z214</f>
        <v>0.0449976385594121</v>
      </c>
      <c r="BS214" s="18" t="n">
        <f aca="false">Algae_yield_cost_factor/AA214</f>
        <v>0.0447405040266691</v>
      </c>
      <c r="BT214" s="18" t="n">
        <f aca="false">Algae_yield_cost_factor/AB214</f>
        <v>0.0445830637589602</v>
      </c>
      <c r="BU214" s="18" t="n">
        <f aca="false">Algae_yield_cost_factor/AC214</f>
        <v>0.0444870204751051</v>
      </c>
    </row>
    <row r="215" customFormat="false" ht="15" hidden="false" customHeight="false" outlineLevel="0" collapsed="false">
      <c r="A215" s="18" t="s">
        <v>698</v>
      </c>
      <c r="B215" s="18" t="s">
        <v>22</v>
      </c>
      <c r="C215" s="18" t="s">
        <v>683</v>
      </c>
      <c r="D215" s="18" t="s">
        <v>683</v>
      </c>
      <c r="E215" s="185" t="n">
        <v>7.56525</v>
      </c>
      <c r="F215" s="18" t="n">
        <f aca="false">E215/$B$2*$F$3/1000</f>
        <v>0.0185348625</v>
      </c>
      <c r="G215" s="18" t="n">
        <f aca="false">LOOKUP(RIGHT(D215,5),Ref!$C$4:$C$21,Ref!$E$4:$E$21)*$G$3</f>
        <v>3</v>
      </c>
      <c r="H215" s="222" t="n">
        <f aca="false">$E215</f>
        <v>7.56525</v>
      </c>
      <c r="I215" s="185" t="n">
        <f aca="false">$E215</f>
        <v>7.56525</v>
      </c>
      <c r="J215" s="185" t="n">
        <f aca="false">$E215</f>
        <v>7.56525</v>
      </c>
      <c r="K215" s="185" t="n">
        <f aca="false">$E215</f>
        <v>7.56525</v>
      </c>
      <c r="L215" s="185" t="n">
        <f aca="false">$E215</f>
        <v>7.56525</v>
      </c>
      <c r="M215" s="185" t="n">
        <f aca="false">M$3*$E215</f>
        <v>7.92403858705659</v>
      </c>
      <c r="N215" s="185" t="n">
        <f aca="false">N$3*$E215</f>
        <v>8.13913609640571</v>
      </c>
      <c r="O215" s="185" t="n">
        <f aca="false">O$3*$E215</f>
        <v>8.46704990582783</v>
      </c>
      <c r="P215" s="185" t="n">
        <f aca="false">P$3*$E215</f>
        <v>8.94534469397604</v>
      </c>
      <c r="Q215" s="185" t="n">
        <f aca="false">Q$3*$E215</f>
        <v>9.59985908801936</v>
      </c>
      <c r="R215" s="185" t="n">
        <f aca="false">R$3*$E215</f>
        <v>10.4214395446252</v>
      </c>
      <c r="S215" s="185" t="n">
        <f aca="false">S$3*$E215</f>
        <v>11.347875</v>
      </c>
      <c r="T215" s="185" t="n">
        <f aca="false">T$3*$E215</f>
        <v>12.2743104553748</v>
      </c>
      <c r="U215" s="185" t="n">
        <f aca="false">U$3*$E215</f>
        <v>13.0958909119806</v>
      </c>
      <c r="V215" s="185" t="n">
        <f aca="false">V$3*$E215</f>
        <v>13.750405306024</v>
      </c>
      <c r="W215" s="185" t="n">
        <f aca="false">W$3*$E215</f>
        <v>14.2287000941722</v>
      </c>
      <c r="X215" s="185" t="n">
        <f aca="false">X$3*$E215</f>
        <v>14.5566139035943</v>
      </c>
      <c r="Y215" s="185" t="n">
        <f aca="false">Y$3*$E215</f>
        <v>14.7717114129434</v>
      </c>
      <c r="Z215" s="185" t="n">
        <f aca="false">Z$3*$E215</f>
        <v>14.9087456463083</v>
      </c>
      <c r="AA215" s="185" t="n">
        <f aca="false">AA$3*$E215</f>
        <v>14.9944298250843</v>
      </c>
      <c r="AB215" s="185" t="n">
        <f aca="false">AB$3*$E215</f>
        <v>15.0473810322639</v>
      </c>
      <c r="AC215" s="185" t="n">
        <f aca="false">AC$3*$E215</f>
        <v>15.0798669095451</v>
      </c>
      <c r="AD215" s="219" t="n">
        <f aca="false">Algae_electricity_factor/H215</f>
        <v>0.00181667454526014</v>
      </c>
      <c r="AE215" s="220" t="n">
        <f aca="false">Algae_electricity_factor/I215</f>
        <v>0.00181667454526014</v>
      </c>
      <c r="AF215" s="220" t="n">
        <f aca="false">Algae_electricity_factor/J215</f>
        <v>0.00181667454526014</v>
      </c>
      <c r="AG215" s="220" t="n">
        <f aca="false">Algae_electricity_factor/K215</f>
        <v>0.00181667454526014</v>
      </c>
      <c r="AH215" s="220" t="n">
        <f aca="false">Algae_electricity_factor/L215</f>
        <v>0.00181667454526014</v>
      </c>
      <c r="AI215" s="220" t="n">
        <f aca="false">Algae_electricity_factor/M215</f>
        <v>0.00173441824551164</v>
      </c>
      <c r="AJ215" s="220" t="n">
        <f aca="false">Algae_electricity_factor/N215</f>
        <v>0.00168858180287691</v>
      </c>
      <c r="AK215" s="220" t="n">
        <f aca="false">Algae_electricity_factor/O215</f>
        <v>0.00162318602776507</v>
      </c>
      <c r="AL215" s="220" t="n">
        <f aca="false">Algae_electricity_factor/P215</f>
        <v>0.00153639659216089</v>
      </c>
      <c r="AM215" s="220" t="n">
        <f aca="false">Algae_electricity_factor/Q215</f>
        <v>0.00143164571245439</v>
      </c>
      <c r="AN215" s="220" t="n">
        <f aca="false">Algae_electricity_factor/R215</f>
        <v>0.00131878106135706</v>
      </c>
      <c r="AO215" s="220" t="n">
        <f aca="false">Algae_electricity_factor/S215</f>
        <v>0.00121111636350676</v>
      </c>
      <c r="AP215" s="220" t="n">
        <f aca="false">Algae_electricity_factor/T215</f>
        <v>0.00111970421096128</v>
      </c>
      <c r="AQ215" s="220" t="n">
        <f aca="false">Algae_electricity_factor/U215</f>
        <v>0.00104945873449175</v>
      </c>
      <c r="AR215" s="220" t="n">
        <f aca="false">Algae_electricity_factor/V215</f>
        <v>0.000999504872595157</v>
      </c>
      <c r="AS215" s="220" t="n">
        <f aca="false">Algae_electricity_factor/W215</f>
        <v>0.00096590672461769</v>
      </c>
      <c r="AT215" s="220" t="n">
        <f aca="false">Algae_electricity_factor/X215</f>
        <v>0.000944147945020079</v>
      </c>
      <c r="AU215" s="220" t="n">
        <f aca="false">Algae_electricity_factor/Y215</f>
        <v>0.000930399783703242</v>
      </c>
      <c r="AV215" s="220" t="n">
        <f aca="false">Algae_electricity_factor/Z215</f>
        <v>0.000921847983028166</v>
      </c>
      <c r="AW215" s="220" t="n">
        <f aca="false">Algae_electricity_factor/AA215</f>
        <v>0.000916580174361648</v>
      </c>
      <c r="AX215" s="220" t="n">
        <f aca="false">Algae_electricity_factor/AB215</f>
        <v>0.000913354760809264</v>
      </c>
      <c r="AY215" s="220" t="n">
        <f aca="false">Algae_electricity_factor/AC215</f>
        <v>0.000911387161834301</v>
      </c>
      <c r="AZ215" s="211" t="n">
        <f aca="false">Algae_yield_cost_factor/H215</f>
        <v>0.100570717330718</v>
      </c>
      <c r="BA215" s="18" t="n">
        <f aca="false">Algae_yield_cost_factor/I215</f>
        <v>0.100570717330718</v>
      </c>
      <c r="BB215" s="18" t="n">
        <f aca="false">Algae_yield_cost_factor/J215</f>
        <v>0.100570717330718</v>
      </c>
      <c r="BC215" s="18" t="n">
        <f aca="false">Algae_yield_cost_factor/K215</f>
        <v>0.100570717330718</v>
      </c>
      <c r="BD215" s="18" t="n">
        <f aca="false">Algae_yield_cost_factor/L215</f>
        <v>0.100570717330718</v>
      </c>
      <c r="BE215" s="18" t="n">
        <f aca="false">Algae_yield_cost_factor/M215</f>
        <v>0.0960170260312722</v>
      </c>
      <c r="BF215" s="18" t="n">
        <f aca="false">Algae_yield_cost_factor/N215</f>
        <v>0.093479530293419</v>
      </c>
      <c r="BG215" s="18" t="n">
        <f aca="false">Algae_yield_cost_factor/O215</f>
        <v>0.0898592340600867</v>
      </c>
      <c r="BH215" s="18" t="n">
        <f aca="false">Algae_yield_cost_factor/P215</f>
        <v>0.0850545893215924</v>
      </c>
      <c r="BI215" s="18" t="n">
        <f aca="false">Algae_yield_cost_factor/Q215</f>
        <v>0.0792556028489784</v>
      </c>
      <c r="BJ215" s="18" t="n">
        <f aca="false">Algae_yield_cost_factor/R215</f>
        <v>0.0730074397138945</v>
      </c>
      <c r="BK215" s="18" t="n">
        <f aca="false">Algae_yield_cost_factor/S215</f>
        <v>0.0670471448871456</v>
      </c>
      <c r="BL215" s="18" t="n">
        <f aca="false">Algae_yield_cost_factor/T215</f>
        <v>0.0619865875197128</v>
      </c>
      <c r="BM215" s="18" t="n">
        <f aca="false">Algae_yield_cost_factor/U215</f>
        <v>0.0580978128483163</v>
      </c>
      <c r="BN215" s="18" t="n">
        <f aca="false">Algae_yield_cost_factor/V215</f>
        <v>0.0553323776538352</v>
      </c>
      <c r="BO215" s="18" t="n">
        <f aca="false">Algae_yield_cost_factor/W215</f>
        <v>0.0534723913112657</v>
      </c>
      <c r="BP215" s="18" t="n">
        <f aca="false">Algae_yield_cost_factor/X215</f>
        <v>0.0522678298899136</v>
      </c>
      <c r="BQ215" s="18" t="n">
        <f aca="false">Algae_yield_cost_factor/Y215</f>
        <v>0.0515067345967472</v>
      </c>
      <c r="BR215" s="18" t="n">
        <f aca="false">Algae_yield_cost_factor/Z215</f>
        <v>0.0510333087260508</v>
      </c>
      <c r="BS215" s="18" t="n">
        <f aca="false">Algae_yield_cost_factor/AA215</f>
        <v>0.0507416839560914</v>
      </c>
      <c r="BT215" s="18" t="n">
        <f aca="false">Algae_yield_cost_factor/AB215</f>
        <v>0.050563125746258</v>
      </c>
      <c r="BU215" s="18" t="n">
        <f aca="false">Algae_yield_cost_factor/AC215</f>
        <v>0.0504541998845248</v>
      </c>
    </row>
    <row r="216" customFormat="false" ht="15" hidden="false" customHeight="false" outlineLevel="0" collapsed="false">
      <c r="A216" s="18" t="s">
        <v>698</v>
      </c>
      <c r="B216" s="18" t="s">
        <v>22</v>
      </c>
      <c r="C216" s="18" t="s">
        <v>684</v>
      </c>
      <c r="D216" s="18" t="s">
        <v>684</v>
      </c>
      <c r="E216" s="185" t="n">
        <v>8.06025</v>
      </c>
      <c r="F216" s="18" t="n">
        <f aca="false">E216/$B$2*$F$3/1000</f>
        <v>0.0197476125</v>
      </c>
      <c r="G216" s="18" t="n">
        <f aca="false">LOOKUP(RIGHT(D216,5),Ref!$C$4:$C$21,Ref!$E$4:$E$21)*$G$3</f>
        <v>3.5</v>
      </c>
      <c r="H216" s="222" t="n">
        <f aca="false">$E216</f>
        <v>8.06025</v>
      </c>
      <c r="I216" s="185" t="n">
        <f aca="false">$E216</f>
        <v>8.06025</v>
      </c>
      <c r="J216" s="185" t="n">
        <f aca="false">$E216</f>
        <v>8.06025</v>
      </c>
      <c r="K216" s="185" t="n">
        <f aca="false">$E216</f>
        <v>8.06025</v>
      </c>
      <c r="L216" s="185" t="n">
        <f aca="false">$E216</f>
        <v>8.06025</v>
      </c>
      <c r="M216" s="185" t="n">
        <f aca="false">M$3*$E216</f>
        <v>8.44251439427948</v>
      </c>
      <c r="N216" s="185" t="n">
        <f aca="false">N$3*$E216</f>
        <v>8.67168589551623</v>
      </c>
      <c r="O216" s="185" t="n">
        <f aca="false">O$3*$E216</f>
        <v>9.02105535222877</v>
      </c>
      <c r="P216" s="185" t="n">
        <f aca="false">P$3*$E216</f>
        <v>9.53064532826018</v>
      </c>
      <c r="Q216" s="185" t="n">
        <f aca="false">Q$3*$E216</f>
        <v>10.2279850915975</v>
      </c>
      <c r="R216" s="185" t="n">
        <f aca="false">R$3*$E216</f>
        <v>11.1033221756803</v>
      </c>
      <c r="S216" s="185" t="n">
        <f aca="false">S$3*$E216</f>
        <v>12.090375</v>
      </c>
      <c r="T216" s="185" t="n">
        <f aca="false">T$3*$E216</f>
        <v>13.0774278243197</v>
      </c>
      <c r="U216" s="185" t="n">
        <f aca="false">U$3*$E216</f>
        <v>13.9527649084025</v>
      </c>
      <c r="V216" s="185" t="n">
        <f aca="false">V$3*$E216</f>
        <v>14.6501046717398</v>
      </c>
      <c r="W216" s="185" t="n">
        <f aca="false">W$3*$E216</f>
        <v>15.1596946477712</v>
      </c>
      <c r="X216" s="185" t="n">
        <f aca="false">X$3*$E216</f>
        <v>15.5090641044838</v>
      </c>
      <c r="Y216" s="185" t="n">
        <f aca="false">Y$3*$E216</f>
        <v>15.7382356057205</v>
      </c>
      <c r="Z216" s="185" t="n">
        <f aca="false">Z$3*$E216</f>
        <v>15.8842360920864</v>
      </c>
      <c r="AA216" s="185" t="n">
        <f aca="false">AA$3*$E216</f>
        <v>15.9755266511531</v>
      </c>
      <c r="AB216" s="185" t="n">
        <f aca="false">AB$3*$E216</f>
        <v>16.0319424956618</v>
      </c>
      <c r="AC216" s="185" t="n">
        <f aca="false">AC$3*$E216</f>
        <v>16.0665539483375</v>
      </c>
      <c r="AD216" s="219" t="n">
        <f aca="false">Algae_electricity_factor/H216</f>
        <v>0.00170510804299237</v>
      </c>
      <c r="AE216" s="220" t="n">
        <f aca="false">Algae_electricity_factor/I216</f>
        <v>0.00170510804299237</v>
      </c>
      <c r="AF216" s="220" t="n">
        <f aca="false">Algae_electricity_factor/J216</f>
        <v>0.00170510804299237</v>
      </c>
      <c r="AG216" s="220" t="n">
        <f aca="false">Algae_electricity_factor/K216</f>
        <v>0.00170510804299237</v>
      </c>
      <c r="AH216" s="220" t="n">
        <f aca="false">Algae_electricity_factor/L216</f>
        <v>0.00170510804299237</v>
      </c>
      <c r="AI216" s="220" t="n">
        <f aca="false">Algae_electricity_factor/M216</f>
        <v>0.00162790330719977</v>
      </c>
      <c r="AJ216" s="220" t="n">
        <f aca="false">Algae_electricity_factor/N216</f>
        <v>0.0015848817945119</v>
      </c>
      <c r="AK216" s="220" t="n">
        <f aca="false">Algae_electricity_factor/O216</f>
        <v>0.00152350213660242</v>
      </c>
      <c r="AL216" s="220" t="n">
        <f aca="false">Algae_electricity_factor/P216</f>
        <v>0.00144204265610188</v>
      </c>
      <c r="AM216" s="220" t="n">
        <f aca="false">Algae_electricity_factor/Q216</f>
        <v>0.00134372478845515</v>
      </c>
      <c r="AN216" s="220" t="n">
        <f aca="false">Algae_electricity_factor/R216</f>
        <v>0.00123779143629931</v>
      </c>
      <c r="AO216" s="220" t="n">
        <f aca="false">Algae_electricity_factor/S216</f>
        <v>0.00113673869532825</v>
      </c>
      <c r="AP216" s="220" t="n">
        <f aca="false">Algae_electricity_factor/T216</f>
        <v>0.00105094039043142</v>
      </c>
      <c r="AQ216" s="220" t="n">
        <f aca="false">Algae_electricity_factor/U216</f>
        <v>0.000985008863386835</v>
      </c>
      <c r="AR216" s="220" t="n">
        <f aca="false">Algae_electricity_factor/V216</f>
        <v>0.000938122792394841</v>
      </c>
      <c r="AS216" s="220" t="n">
        <f aca="false">Algae_electricity_factor/W216</f>
        <v>0.000906587990250176</v>
      </c>
      <c r="AT216" s="220" t="n">
        <f aca="false">Algae_electricity_factor/X216</f>
        <v>0.000886165471426216</v>
      </c>
      <c r="AU216" s="220" t="n">
        <f aca="false">Algae_electricity_factor/Y216</f>
        <v>0.000873261618890351</v>
      </c>
      <c r="AV216" s="220" t="n">
        <f aca="false">Algae_electricity_factor/Z216</f>
        <v>0.000865235005564819</v>
      </c>
      <c r="AW216" s="220" t="n">
        <f aca="false">Algae_electricity_factor/AA216</f>
        <v>0.000860290706130636</v>
      </c>
      <c r="AX216" s="220" t="n">
        <f aca="false">Algae_electricity_factor/AB216</f>
        <v>0.000857263373246771</v>
      </c>
      <c r="AY216" s="220" t="n">
        <f aca="false">Algae_electricity_factor/AC216</f>
        <v>0.000855416609418684</v>
      </c>
      <c r="AZ216" s="211" t="n">
        <f aca="false">Algae_yield_cost_factor/H216</f>
        <v>0.0943944194393744</v>
      </c>
      <c r="BA216" s="18" t="n">
        <f aca="false">Algae_yield_cost_factor/I216</f>
        <v>0.0943944194393744</v>
      </c>
      <c r="BB216" s="18" t="n">
        <f aca="false">Algae_yield_cost_factor/J216</f>
        <v>0.0943944194393744</v>
      </c>
      <c r="BC216" s="18" t="n">
        <f aca="false">Algae_yield_cost_factor/K216</f>
        <v>0.0943944194393744</v>
      </c>
      <c r="BD216" s="18" t="n">
        <f aca="false">Algae_yield_cost_factor/L216</f>
        <v>0.0943944194393744</v>
      </c>
      <c r="BE216" s="18" t="n">
        <f aca="false">Algae_yield_cost_factor/M216</f>
        <v>0.0901203816485943</v>
      </c>
      <c r="BF216" s="18" t="n">
        <f aca="false">Algae_yield_cost_factor/N216</f>
        <v>0.0877387198352766</v>
      </c>
      <c r="BG216" s="18" t="n">
        <f aca="false">Algae_yield_cost_factor/O216</f>
        <v>0.0843407549980548</v>
      </c>
      <c r="BH216" s="18" t="n">
        <f aca="false">Algae_yield_cost_factor/P216</f>
        <v>0.0798311754430914</v>
      </c>
      <c r="BI216" s="18" t="n">
        <f aca="false">Algae_yield_cost_factor/Q216</f>
        <v>0.0743883191530329</v>
      </c>
      <c r="BJ216" s="18" t="n">
        <f aca="false">Algae_yield_cost_factor/R216</f>
        <v>0.0685238712565417</v>
      </c>
      <c r="BK216" s="18" t="n">
        <f aca="false">Algae_yield_cost_factor/S216</f>
        <v>0.062929612959583</v>
      </c>
      <c r="BL216" s="18" t="n">
        <f aca="false">Algae_yield_cost_factor/T216</f>
        <v>0.0581798370067315</v>
      </c>
      <c r="BM216" s="18" t="n">
        <f aca="false">Algae_yield_cost_factor/U216</f>
        <v>0.0545298816600881</v>
      </c>
      <c r="BN216" s="18" t="n">
        <f aca="false">Algae_yield_cost_factor/V216</f>
        <v>0.0519342787191064</v>
      </c>
      <c r="BO216" s="18" t="n">
        <f aca="false">Algae_yield_cost_factor/W216</f>
        <v>0.0501885187640027</v>
      </c>
      <c r="BP216" s="18" t="n">
        <f aca="false">Algae_yield_cost_factor/X216</f>
        <v>0.0490579324555279</v>
      </c>
      <c r="BQ216" s="18" t="n">
        <f aca="false">Algae_yield_cost_factor/Y216</f>
        <v>0.0483435779173154</v>
      </c>
      <c r="BR216" s="18" t="n">
        <f aca="false">Algae_yield_cost_factor/Z216</f>
        <v>0.0478992263068461</v>
      </c>
      <c r="BS216" s="18" t="n">
        <f aca="false">Algae_yield_cost_factor/AA216</f>
        <v>0.0476255109393407</v>
      </c>
      <c r="BT216" s="18" t="n">
        <f aca="false">Algae_yield_cost_factor/AB216</f>
        <v>0.0474579184332841</v>
      </c>
      <c r="BU216" s="18" t="n">
        <f aca="false">Algae_yield_cost_factor/AC216</f>
        <v>0.047355681979641</v>
      </c>
    </row>
    <row r="217" customFormat="false" ht="15" hidden="false" customHeight="false" outlineLevel="0" collapsed="false">
      <c r="A217" s="18" t="s">
        <v>698</v>
      </c>
      <c r="B217" s="18" t="s">
        <v>22</v>
      </c>
      <c r="C217" s="18" t="s">
        <v>685</v>
      </c>
      <c r="D217" s="18" t="s">
        <v>685</v>
      </c>
      <c r="E217" s="185" t="n">
        <v>8.7615</v>
      </c>
      <c r="F217" s="18" t="n">
        <f aca="false">E217/$B$2*$F$3/1000</f>
        <v>0.021465675</v>
      </c>
      <c r="G217" s="18" t="n">
        <f aca="false">LOOKUP(RIGHT(D217,5),Ref!$C$4:$C$21,Ref!$E$4:$E$21)*$G$3</f>
        <v>4</v>
      </c>
      <c r="H217" s="222" t="n">
        <f aca="false">$E217</f>
        <v>8.7615</v>
      </c>
      <c r="I217" s="185" t="n">
        <f aca="false">$E217</f>
        <v>8.7615</v>
      </c>
      <c r="J217" s="185" t="n">
        <f aca="false">$E217</f>
        <v>8.7615</v>
      </c>
      <c r="K217" s="185" t="n">
        <f aca="false">$E217</f>
        <v>8.7615</v>
      </c>
      <c r="L217" s="185" t="n">
        <f aca="false">$E217</f>
        <v>8.7615</v>
      </c>
      <c r="M217" s="185" t="n">
        <f aca="false">M$3*$E217</f>
        <v>9.17702178784525</v>
      </c>
      <c r="N217" s="185" t="n">
        <f aca="false">N$3*$E217</f>
        <v>9.42613144425613</v>
      </c>
      <c r="O217" s="185" t="n">
        <f aca="false">O$3*$E217</f>
        <v>9.80589640129678</v>
      </c>
      <c r="P217" s="185" t="n">
        <f aca="false">P$3*$E217</f>
        <v>10.3598212268294</v>
      </c>
      <c r="Q217" s="185" t="n">
        <f aca="false">Q$3*$E217</f>
        <v>11.1178302633332</v>
      </c>
      <c r="R217" s="185" t="n">
        <f aca="false">R$3*$E217</f>
        <v>12.069322569675</v>
      </c>
      <c r="S217" s="185" t="n">
        <f aca="false">S$3*$E217</f>
        <v>13.14225</v>
      </c>
      <c r="T217" s="185" t="n">
        <f aca="false">T$3*$E217</f>
        <v>14.215177430325</v>
      </c>
      <c r="U217" s="185" t="n">
        <f aca="false">U$3*$E217</f>
        <v>15.1666697366668</v>
      </c>
      <c r="V217" s="185" t="n">
        <f aca="false">V$3*$E217</f>
        <v>15.9246787731706</v>
      </c>
      <c r="W217" s="185" t="n">
        <f aca="false">W$3*$E217</f>
        <v>16.4786035987032</v>
      </c>
      <c r="X217" s="185" t="n">
        <f aca="false">X$3*$E217</f>
        <v>16.8583685557439</v>
      </c>
      <c r="Y217" s="185" t="n">
        <f aca="false">Y$3*$E217</f>
        <v>17.1074782121548</v>
      </c>
      <c r="Z217" s="185" t="n">
        <f aca="false">Z$3*$E217</f>
        <v>17.266180890272</v>
      </c>
      <c r="AA217" s="185" t="n">
        <f aca="false">AA$3*$E217</f>
        <v>17.3654138214171</v>
      </c>
      <c r="AB217" s="185" t="n">
        <f aca="false">AB$3*$E217</f>
        <v>17.4267379021421</v>
      </c>
      <c r="AC217" s="185" t="n">
        <f aca="false">AC$3*$E217</f>
        <v>17.4643605866269</v>
      </c>
      <c r="AD217" s="219" t="n">
        <f aca="false">Algae_electricity_factor/H217</f>
        <v>0.00156863517702782</v>
      </c>
      <c r="AE217" s="220" t="n">
        <f aca="false">Algae_electricity_factor/I217</f>
        <v>0.00156863517702782</v>
      </c>
      <c r="AF217" s="220" t="n">
        <f aca="false">Algae_electricity_factor/J217</f>
        <v>0.00156863517702782</v>
      </c>
      <c r="AG217" s="220" t="n">
        <f aca="false">Algae_electricity_factor/K217</f>
        <v>0.00156863517702782</v>
      </c>
      <c r="AH217" s="220" t="n">
        <f aca="false">Algae_electricity_factor/L217</f>
        <v>0.00156863517702782</v>
      </c>
      <c r="AI217" s="220" t="n">
        <f aca="false">Algae_electricity_factor/M217</f>
        <v>0.00149760972799829</v>
      </c>
      <c r="AJ217" s="220" t="n">
        <f aca="false">Algae_electricity_factor/N217</f>
        <v>0.0014580315567214</v>
      </c>
      <c r="AK217" s="220" t="n">
        <f aca="false">Algae_electricity_factor/O217</f>
        <v>0.0014015645832962</v>
      </c>
      <c r="AL217" s="220" t="n">
        <f aca="false">Algae_electricity_factor/P217</f>
        <v>0.00132662492938939</v>
      </c>
      <c r="AM217" s="220" t="n">
        <f aca="false">Algae_electricity_factor/Q217</f>
        <v>0.00123617619427559</v>
      </c>
      <c r="AN217" s="220" t="n">
        <f aca="false">Algae_electricity_factor/R217</f>
        <v>0.00113872150024899</v>
      </c>
      <c r="AO217" s="220" t="n">
        <f aca="false">Algae_electricity_factor/S217</f>
        <v>0.00104575678468521</v>
      </c>
      <c r="AP217" s="220" t="n">
        <f aca="false">Algae_electricity_factor/T217</f>
        <v>0.000966825575754702</v>
      </c>
      <c r="AQ217" s="220" t="n">
        <f aca="false">Algae_electricity_factor/U217</f>
        <v>0.000906171054170375</v>
      </c>
      <c r="AR217" s="220" t="n">
        <f aca="false">Algae_electricity_factor/V217</f>
        <v>0.00086303763481145</v>
      </c>
      <c r="AS217" s="220" t="n">
        <f aca="false">Algae_electricity_factor/W217</f>
        <v>0.000834026804589851</v>
      </c>
      <c r="AT217" s="220" t="n">
        <f aca="false">Algae_electricity_factor/X217</f>
        <v>0.000815238856481556</v>
      </c>
      <c r="AU217" s="220" t="n">
        <f aca="false">Algae_electricity_factor/Y217</f>
        <v>0.000803367798169372</v>
      </c>
      <c r="AV217" s="220" t="n">
        <f aca="false">Algae_electricity_factor/Z217</f>
        <v>0.000795983616230535</v>
      </c>
      <c r="AW217" s="220" t="n">
        <f aca="false">Algae_electricity_factor/AA217</f>
        <v>0.000791435046977054</v>
      </c>
      <c r="AX217" s="220" t="n">
        <f aca="false">Algae_electricity_factor/AB217</f>
        <v>0.000788650014747736</v>
      </c>
      <c r="AY217" s="220" t="n">
        <f aca="false">Algae_electricity_factor/AC217</f>
        <v>0.000786951061583855</v>
      </c>
      <c r="AZ217" s="211" t="n">
        <f aca="false">Algae_yield_cost_factor/H217</f>
        <v>0.0868393105388595</v>
      </c>
      <c r="BA217" s="18" t="n">
        <f aca="false">Algae_yield_cost_factor/I217</f>
        <v>0.0868393105388595</v>
      </c>
      <c r="BB217" s="18" t="n">
        <f aca="false">Algae_yield_cost_factor/J217</f>
        <v>0.0868393105388595</v>
      </c>
      <c r="BC217" s="18" t="n">
        <f aca="false">Algae_yield_cost_factor/K217</f>
        <v>0.0868393105388595</v>
      </c>
      <c r="BD217" s="18" t="n">
        <f aca="false">Algae_yield_cost_factor/L217</f>
        <v>0.0868393105388595</v>
      </c>
      <c r="BE217" s="18" t="n">
        <f aca="false">Algae_yield_cost_factor/M217</f>
        <v>0.0829073567520496</v>
      </c>
      <c r="BF217" s="18" t="n">
        <f aca="false">Algae_yield_cost_factor/N217</f>
        <v>0.0807163175885736</v>
      </c>
      <c r="BG217" s="18" t="n">
        <f aca="false">Algae_yield_cost_factor/O217</f>
        <v>0.0775903179219393</v>
      </c>
      <c r="BH217" s="18" t="n">
        <f aca="false">Algae_yield_cost_factor/P217</f>
        <v>0.0734416745837102</v>
      </c>
      <c r="BI217" s="18" t="n">
        <f aca="false">Algae_yield_cost_factor/Q217</f>
        <v>0.0684344518008599</v>
      </c>
      <c r="BJ217" s="18" t="n">
        <f aca="false">Algae_yield_cost_factor/R217</f>
        <v>0.0630393806192478</v>
      </c>
      <c r="BK217" s="18" t="n">
        <f aca="false">Algae_yield_cost_factor/S217</f>
        <v>0.057892873692573</v>
      </c>
      <c r="BL217" s="18" t="n">
        <f aca="false">Algae_yield_cost_factor/T217</f>
        <v>0.0535232587152323</v>
      </c>
      <c r="BM217" s="18" t="n">
        <f aca="false">Algae_yield_cost_factor/U217</f>
        <v>0.050165437271098</v>
      </c>
      <c r="BN217" s="18" t="n">
        <f aca="false">Algae_yield_cost_factor/V217</f>
        <v>0.0477775803282174</v>
      </c>
      <c r="BO217" s="18" t="n">
        <f aca="false">Algae_yield_cost_factor/W217</f>
        <v>0.0461715469231927</v>
      </c>
      <c r="BP217" s="18" t="n">
        <f aca="false">Algae_yield_cost_factor/X217</f>
        <v>0.0451314501026844</v>
      </c>
      <c r="BQ217" s="18" t="n">
        <f aca="false">Algae_yield_cost_factor/Y217</f>
        <v>0.0444742708335378</v>
      </c>
      <c r="BR217" s="18" t="n">
        <f aca="false">Algae_yield_cost_factor/Z217</f>
        <v>0.0440654840883132</v>
      </c>
      <c r="BS217" s="18" t="n">
        <f aca="false">Algae_yield_cost_factor/AA217</f>
        <v>0.0438136762596382</v>
      </c>
      <c r="BT217" s="18" t="n">
        <f aca="false">Algae_yield_cost_factor/AB217</f>
        <v>0.0436594974664017</v>
      </c>
      <c r="BU217" s="18" t="n">
        <f aca="false">Algae_yield_cost_factor/AC217</f>
        <v>0.0435654437797639</v>
      </c>
    </row>
    <row r="218" customFormat="false" ht="15" hidden="false" customHeight="false" outlineLevel="0" collapsed="false">
      <c r="A218" s="18" t="s">
        <v>698</v>
      </c>
      <c r="B218" s="18" t="s">
        <v>22</v>
      </c>
      <c r="C218" s="18" t="s">
        <v>686</v>
      </c>
      <c r="D218" s="18" t="s">
        <v>686</v>
      </c>
      <c r="E218" s="185" t="n">
        <v>8.4975</v>
      </c>
      <c r="F218" s="18" t="n">
        <f aca="false">E218/$B$2*$F$3/1000</f>
        <v>0.020818875</v>
      </c>
      <c r="G218" s="18" t="n">
        <f aca="false">LOOKUP(RIGHT(D218,5),Ref!$C$4:$C$21,Ref!$E$4:$E$21)*$G$3</f>
        <v>4.5</v>
      </c>
      <c r="H218" s="222" t="n">
        <f aca="false">$E218</f>
        <v>8.4975</v>
      </c>
      <c r="I218" s="185" t="n">
        <f aca="false">$E218</f>
        <v>8.4975</v>
      </c>
      <c r="J218" s="185" t="n">
        <f aca="false">$E218</f>
        <v>8.4975</v>
      </c>
      <c r="K218" s="185" t="n">
        <f aca="false">$E218</f>
        <v>8.4975</v>
      </c>
      <c r="L218" s="185" t="n">
        <f aca="false">$E218</f>
        <v>8.4975</v>
      </c>
      <c r="M218" s="185" t="n">
        <f aca="false">M$3*$E218</f>
        <v>8.90050135732637</v>
      </c>
      <c r="N218" s="185" t="n">
        <f aca="false">N$3*$E218</f>
        <v>9.14210488473052</v>
      </c>
      <c r="O218" s="185" t="n">
        <f aca="false">O$3*$E218</f>
        <v>9.51042682988295</v>
      </c>
      <c r="P218" s="185" t="n">
        <f aca="false">P$3*$E218</f>
        <v>10.0476608885445</v>
      </c>
      <c r="Q218" s="185" t="n">
        <f aca="false">Q$3*$E218</f>
        <v>10.7828297280915</v>
      </c>
      <c r="R218" s="185" t="n">
        <f aca="false">R$3*$E218</f>
        <v>11.7056518331122</v>
      </c>
      <c r="S218" s="185" t="n">
        <f aca="false">S$3*$E218</f>
        <v>12.74625</v>
      </c>
      <c r="T218" s="185" t="n">
        <f aca="false">T$3*$E218</f>
        <v>13.7868481668878</v>
      </c>
      <c r="U218" s="185" t="n">
        <f aca="false">U$3*$E218</f>
        <v>14.7096702719085</v>
      </c>
      <c r="V218" s="185" t="n">
        <f aca="false">V$3*$E218</f>
        <v>15.4448391114555</v>
      </c>
      <c r="W218" s="185" t="n">
        <f aca="false">W$3*$E218</f>
        <v>15.9820731701171</v>
      </c>
      <c r="X218" s="185" t="n">
        <f aca="false">X$3*$E218</f>
        <v>16.3503951152695</v>
      </c>
      <c r="Y218" s="185" t="n">
        <f aca="false">Y$3*$E218</f>
        <v>16.5919986426736</v>
      </c>
      <c r="Z218" s="185" t="n">
        <f aca="false">Z$3*$E218</f>
        <v>16.7459193191904</v>
      </c>
      <c r="AA218" s="185" t="n">
        <f aca="false">AA$3*$E218</f>
        <v>16.8421621808471</v>
      </c>
      <c r="AB218" s="185" t="n">
        <f aca="false">AB$3*$E218</f>
        <v>16.9016384549965</v>
      </c>
      <c r="AC218" s="185" t="n">
        <f aca="false">AC$3*$E218</f>
        <v>16.9381274992709</v>
      </c>
      <c r="AD218" s="219" t="n">
        <f aca="false">Algae_electricity_factor/H218</f>
        <v>0.00161736947378985</v>
      </c>
      <c r="AE218" s="220" t="n">
        <f aca="false">Algae_electricity_factor/I218</f>
        <v>0.00161736947378985</v>
      </c>
      <c r="AF218" s="220" t="n">
        <f aca="false">Algae_electricity_factor/J218</f>
        <v>0.00161736947378985</v>
      </c>
      <c r="AG218" s="220" t="n">
        <f aca="false">Algae_electricity_factor/K218</f>
        <v>0.00161736947378985</v>
      </c>
      <c r="AH218" s="220" t="n">
        <f aca="false">Algae_electricity_factor/L218</f>
        <v>0.00161736947378985</v>
      </c>
      <c r="AI218" s="220" t="n">
        <f aca="false">Algae_electricity_factor/M218</f>
        <v>0.00154413740886813</v>
      </c>
      <c r="AJ218" s="220" t="n">
        <f aca="false">Algae_electricity_factor/N218</f>
        <v>0.00150332962450303</v>
      </c>
      <c r="AK218" s="220" t="n">
        <f aca="false">Algae_electricity_factor/O218</f>
        <v>0.00144510833734036</v>
      </c>
      <c r="AL218" s="220" t="n">
        <f aca="false">Algae_electricity_factor/P218</f>
        <v>0.00136784046117625</v>
      </c>
      <c r="AM218" s="220" t="n">
        <f aca="false">Algae_electricity_factor/Q218</f>
        <v>0.0012745816682725</v>
      </c>
      <c r="AN218" s="220" t="n">
        <f aca="false">Algae_electricity_factor/R218</f>
        <v>0.00117409925559653</v>
      </c>
      <c r="AO218" s="220" t="n">
        <f aca="false">Algae_electricity_factor/S218</f>
        <v>0.0010782463158599</v>
      </c>
      <c r="AP218" s="220" t="n">
        <f aca="false">Algae_electricity_factor/T218</f>
        <v>0.000996862875195625</v>
      </c>
      <c r="AQ218" s="220" t="n">
        <f aca="false">Algae_electricity_factor/U218</f>
        <v>0.000934323941290231</v>
      </c>
      <c r="AR218" s="220" t="n">
        <f aca="false">Algae_electricity_factor/V218</f>
        <v>0.000889850454533747</v>
      </c>
      <c r="AS218" s="220" t="n">
        <f aca="false">Algae_electricity_factor/W218</f>
        <v>0.000859938316965458</v>
      </c>
      <c r="AT218" s="220" t="n">
        <f aca="false">Algae_electricity_factor/X218</f>
        <v>0.000840566665614964</v>
      </c>
      <c r="AU218" s="220" t="n">
        <f aca="false">Algae_electricity_factor/Y218</f>
        <v>0.000828326797724148</v>
      </c>
      <c r="AV218" s="220" t="n">
        <f aca="false">Algae_electricity_factor/Z218</f>
        <v>0.0008207132043076</v>
      </c>
      <c r="AW218" s="220" t="n">
        <f aca="false">Algae_electricity_factor/AA218</f>
        <v>0.000816023320281196</v>
      </c>
      <c r="AX218" s="220" t="n">
        <f aca="false">Algae_electricity_factor/AB218</f>
        <v>0.000813151762778733</v>
      </c>
      <c r="AY218" s="220" t="n">
        <f aca="false">Algae_electricity_factor/AC218</f>
        <v>0.000811400026603936</v>
      </c>
      <c r="AZ218" s="211" t="n">
        <f aca="false">Algae_yield_cost_factor/H218</f>
        <v>0.0895372308662804</v>
      </c>
      <c r="BA218" s="18" t="n">
        <f aca="false">Algae_yield_cost_factor/I218</f>
        <v>0.0895372308662804</v>
      </c>
      <c r="BB218" s="18" t="n">
        <f aca="false">Algae_yield_cost_factor/J218</f>
        <v>0.0895372308662804</v>
      </c>
      <c r="BC218" s="18" t="n">
        <f aca="false">Algae_yield_cost_factor/K218</f>
        <v>0.0895372308662804</v>
      </c>
      <c r="BD218" s="18" t="n">
        <f aca="false">Algae_yield_cost_factor/L218</f>
        <v>0.0895372308662804</v>
      </c>
      <c r="BE218" s="18" t="n">
        <f aca="false">Algae_yield_cost_factor/M218</f>
        <v>0.0854831192919191</v>
      </c>
      <c r="BF218" s="18" t="n">
        <f aca="false">Algae_yield_cost_factor/N218</f>
        <v>0.0832240090088012</v>
      </c>
      <c r="BG218" s="18" t="n">
        <f aca="false">Algae_yield_cost_factor/O218</f>
        <v>0.0800008909059219</v>
      </c>
      <c r="BH218" s="18" t="n">
        <f aca="false">Algae_yield_cost_factor/P218</f>
        <v>0.0757233576775731</v>
      </c>
      <c r="BI218" s="18" t="n">
        <f aca="false">Algae_yield_cost_factor/Q218</f>
        <v>0.0705605706917604</v>
      </c>
      <c r="BJ218" s="18" t="n">
        <f aca="false">Algae_yield_cost_factor/R218</f>
        <v>0.0649978856481954</v>
      </c>
      <c r="BK218" s="18" t="n">
        <f aca="false">Algae_yield_cost_factor/S218</f>
        <v>0.0596914872441869</v>
      </c>
      <c r="BL218" s="18" t="n">
        <f aca="false">Algae_yield_cost_factor/T218</f>
        <v>0.0551861172384239</v>
      </c>
      <c r="BM218" s="18" t="n">
        <f aca="false">Algae_yield_cost_factor/U218</f>
        <v>0.0517239751280641</v>
      </c>
      <c r="BN218" s="18" t="n">
        <f aca="false">Algae_yield_cost_factor/V218</f>
        <v>0.0492619323384145</v>
      </c>
      <c r="BO218" s="18" t="n">
        <f aca="false">Algae_yield_cost_factor/W218</f>
        <v>0.0476060027499327</v>
      </c>
      <c r="BP218" s="18" t="n">
        <f aca="false">Algae_yield_cost_factor/X218</f>
        <v>0.0465335922417969</v>
      </c>
      <c r="BQ218" s="18" t="n">
        <f aca="false">Algae_yield_cost_factor/Y218</f>
        <v>0.045855995752638</v>
      </c>
      <c r="BR218" s="18" t="n">
        <f aca="false">Algae_yield_cost_factor/Z218</f>
        <v>0.045434508836688</v>
      </c>
      <c r="BS218" s="18" t="n">
        <f aca="false">Algae_yield_cost_factor/AA218</f>
        <v>0.0451748778521707</v>
      </c>
      <c r="BT218" s="18" t="n">
        <f aca="false">Algae_yield_cost_factor/AB218</f>
        <v>0.0450159090381734</v>
      </c>
      <c r="BU218" s="18" t="n">
        <f aca="false">Algae_yield_cost_factor/AC218</f>
        <v>0.0449189332952517</v>
      </c>
    </row>
    <row r="219" customFormat="false" ht="15" hidden="false" customHeight="false" outlineLevel="0" collapsed="false">
      <c r="A219" s="18" t="s">
        <v>698</v>
      </c>
      <c r="B219" s="18" t="s">
        <v>22</v>
      </c>
      <c r="C219" s="18" t="s">
        <v>687</v>
      </c>
      <c r="D219" s="18" t="s">
        <v>687</v>
      </c>
      <c r="E219" s="185" t="n">
        <v>8.06025</v>
      </c>
      <c r="F219" s="18" t="n">
        <f aca="false">E219/$B$2*$F$3/1000</f>
        <v>0.0197476125</v>
      </c>
      <c r="G219" s="18" t="n">
        <f aca="false">LOOKUP(RIGHT(D219,5),Ref!$C$4:$C$21,Ref!$E$4:$E$21)*$G$3</f>
        <v>4.5</v>
      </c>
      <c r="H219" s="222" t="n">
        <f aca="false">$E219</f>
        <v>8.06025</v>
      </c>
      <c r="I219" s="185" t="n">
        <f aca="false">$E219</f>
        <v>8.06025</v>
      </c>
      <c r="J219" s="185" t="n">
        <f aca="false">$E219</f>
        <v>8.06025</v>
      </c>
      <c r="K219" s="185" t="n">
        <f aca="false">$E219</f>
        <v>8.06025</v>
      </c>
      <c r="L219" s="185" t="n">
        <f aca="false">$E219</f>
        <v>8.06025</v>
      </c>
      <c r="M219" s="185" t="n">
        <f aca="false">M$3*$E219</f>
        <v>8.44251439427948</v>
      </c>
      <c r="N219" s="185" t="n">
        <f aca="false">N$3*$E219</f>
        <v>8.67168589551623</v>
      </c>
      <c r="O219" s="185" t="n">
        <f aca="false">O$3*$E219</f>
        <v>9.02105535222877</v>
      </c>
      <c r="P219" s="185" t="n">
        <f aca="false">P$3*$E219</f>
        <v>9.53064532826018</v>
      </c>
      <c r="Q219" s="185" t="n">
        <f aca="false">Q$3*$E219</f>
        <v>10.2279850915975</v>
      </c>
      <c r="R219" s="185" t="n">
        <f aca="false">R$3*$E219</f>
        <v>11.1033221756803</v>
      </c>
      <c r="S219" s="185" t="n">
        <f aca="false">S$3*$E219</f>
        <v>12.090375</v>
      </c>
      <c r="T219" s="185" t="n">
        <f aca="false">T$3*$E219</f>
        <v>13.0774278243197</v>
      </c>
      <c r="U219" s="185" t="n">
        <f aca="false">U$3*$E219</f>
        <v>13.9527649084025</v>
      </c>
      <c r="V219" s="185" t="n">
        <f aca="false">V$3*$E219</f>
        <v>14.6501046717398</v>
      </c>
      <c r="W219" s="185" t="n">
        <f aca="false">W$3*$E219</f>
        <v>15.1596946477712</v>
      </c>
      <c r="X219" s="185" t="n">
        <f aca="false">X$3*$E219</f>
        <v>15.5090641044838</v>
      </c>
      <c r="Y219" s="185" t="n">
        <f aca="false">Y$3*$E219</f>
        <v>15.7382356057205</v>
      </c>
      <c r="Z219" s="185" t="n">
        <f aca="false">Z$3*$E219</f>
        <v>15.8842360920864</v>
      </c>
      <c r="AA219" s="185" t="n">
        <f aca="false">AA$3*$E219</f>
        <v>15.9755266511531</v>
      </c>
      <c r="AB219" s="185" t="n">
        <f aca="false">AB$3*$E219</f>
        <v>16.0319424956618</v>
      </c>
      <c r="AC219" s="185" t="n">
        <f aca="false">AC$3*$E219</f>
        <v>16.0665539483375</v>
      </c>
      <c r="AD219" s="219" t="n">
        <f aca="false">Algae_electricity_factor/H219</f>
        <v>0.00170510804299237</v>
      </c>
      <c r="AE219" s="220" t="n">
        <f aca="false">Algae_electricity_factor/I219</f>
        <v>0.00170510804299237</v>
      </c>
      <c r="AF219" s="220" t="n">
        <f aca="false">Algae_electricity_factor/J219</f>
        <v>0.00170510804299237</v>
      </c>
      <c r="AG219" s="220" t="n">
        <f aca="false">Algae_electricity_factor/K219</f>
        <v>0.00170510804299237</v>
      </c>
      <c r="AH219" s="220" t="n">
        <f aca="false">Algae_electricity_factor/L219</f>
        <v>0.00170510804299237</v>
      </c>
      <c r="AI219" s="220" t="n">
        <f aca="false">Algae_electricity_factor/M219</f>
        <v>0.00162790330719977</v>
      </c>
      <c r="AJ219" s="220" t="n">
        <f aca="false">Algae_electricity_factor/N219</f>
        <v>0.0015848817945119</v>
      </c>
      <c r="AK219" s="220" t="n">
        <f aca="false">Algae_electricity_factor/O219</f>
        <v>0.00152350213660242</v>
      </c>
      <c r="AL219" s="220" t="n">
        <f aca="false">Algae_electricity_factor/P219</f>
        <v>0.00144204265610188</v>
      </c>
      <c r="AM219" s="220" t="n">
        <f aca="false">Algae_electricity_factor/Q219</f>
        <v>0.00134372478845515</v>
      </c>
      <c r="AN219" s="220" t="n">
        <f aca="false">Algae_electricity_factor/R219</f>
        <v>0.00123779143629931</v>
      </c>
      <c r="AO219" s="220" t="n">
        <f aca="false">Algae_electricity_factor/S219</f>
        <v>0.00113673869532825</v>
      </c>
      <c r="AP219" s="220" t="n">
        <f aca="false">Algae_electricity_factor/T219</f>
        <v>0.00105094039043142</v>
      </c>
      <c r="AQ219" s="220" t="n">
        <f aca="false">Algae_electricity_factor/U219</f>
        <v>0.000985008863386835</v>
      </c>
      <c r="AR219" s="220" t="n">
        <f aca="false">Algae_electricity_factor/V219</f>
        <v>0.000938122792394841</v>
      </c>
      <c r="AS219" s="220" t="n">
        <f aca="false">Algae_electricity_factor/W219</f>
        <v>0.000906587990250176</v>
      </c>
      <c r="AT219" s="220" t="n">
        <f aca="false">Algae_electricity_factor/X219</f>
        <v>0.000886165471426216</v>
      </c>
      <c r="AU219" s="220" t="n">
        <f aca="false">Algae_electricity_factor/Y219</f>
        <v>0.000873261618890351</v>
      </c>
      <c r="AV219" s="220" t="n">
        <f aca="false">Algae_electricity_factor/Z219</f>
        <v>0.000865235005564819</v>
      </c>
      <c r="AW219" s="220" t="n">
        <f aca="false">Algae_electricity_factor/AA219</f>
        <v>0.000860290706130636</v>
      </c>
      <c r="AX219" s="220" t="n">
        <f aca="false">Algae_electricity_factor/AB219</f>
        <v>0.000857263373246771</v>
      </c>
      <c r="AY219" s="220" t="n">
        <f aca="false">Algae_electricity_factor/AC219</f>
        <v>0.000855416609418684</v>
      </c>
      <c r="AZ219" s="211" t="n">
        <f aca="false">Algae_yield_cost_factor/H219</f>
        <v>0.0943944194393744</v>
      </c>
      <c r="BA219" s="18" t="n">
        <f aca="false">Algae_yield_cost_factor/I219</f>
        <v>0.0943944194393744</v>
      </c>
      <c r="BB219" s="18" t="n">
        <f aca="false">Algae_yield_cost_factor/J219</f>
        <v>0.0943944194393744</v>
      </c>
      <c r="BC219" s="18" t="n">
        <f aca="false">Algae_yield_cost_factor/K219</f>
        <v>0.0943944194393744</v>
      </c>
      <c r="BD219" s="18" t="n">
        <f aca="false">Algae_yield_cost_factor/L219</f>
        <v>0.0943944194393744</v>
      </c>
      <c r="BE219" s="18" t="n">
        <f aca="false">Algae_yield_cost_factor/M219</f>
        <v>0.0901203816485943</v>
      </c>
      <c r="BF219" s="18" t="n">
        <f aca="false">Algae_yield_cost_factor/N219</f>
        <v>0.0877387198352766</v>
      </c>
      <c r="BG219" s="18" t="n">
        <f aca="false">Algae_yield_cost_factor/O219</f>
        <v>0.0843407549980548</v>
      </c>
      <c r="BH219" s="18" t="n">
        <f aca="false">Algae_yield_cost_factor/P219</f>
        <v>0.0798311754430914</v>
      </c>
      <c r="BI219" s="18" t="n">
        <f aca="false">Algae_yield_cost_factor/Q219</f>
        <v>0.0743883191530329</v>
      </c>
      <c r="BJ219" s="18" t="n">
        <f aca="false">Algae_yield_cost_factor/R219</f>
        <v>0.0685238712565417</v>
      </c>
      <c r="BK219" s="18" t="n">
        <f aca="false">Algae_yield_cost_factor/S219</f>
        <v>0.062929612959583</v>
      </c>
      <c r="BL219" s="18" t="n">
        <f aca="false">Algae_yield_cost_factor/T219</f>
        <v>0.0581798370067315</v>
      </c>
      <c r="BM219" s="18" t="n">
        <f aca="false">Algae_yield_cost_factor/U219</f>
        <v>0.0545298816600881</v>
      </c>
      <c r="BN219" s="18" t="n">
        <f aca="false">Algae_yield_cost_factor/V219</f>
        <v>0.0519342787191064</v>
      </c>
      <c r="BO219" s="18" t="n">
        <f aca="false">Algae_yield_cost_factor/W219</f>
        <v>0.0501885187640027</v>
      </c>
      <c r="BP219" s="18" t="n">
        <f aca="false">Algae_yield_cost_factor/X219</f>
        <v>0.0490579324555279</v>
      </c>
      <c r="BQ219" s="18" t="n">
        <f aca="false">Algae_yield_cost_factor/Y219</f>
        <v>0.0483435779173154</v>
      </c>
      <c r="BR219" s="18" t="n">
        <f aca="false">Algae_yield_cost_factor/Z219</f>
        <v>0.0478992263068461</v>
      </c>
      <c r="BS219" s="18" t="n">
        <f aca="false">Algae_yield_cost_factor/AA219</f>
        <v>0.0476255109393407</v>
      </c>
      <c r="BT219" s="18" t="n">
        <f aca="false">Algae_yield_cost_factor/AB219</f>
        <v>0.0474579184332841</v>
      </c>
      <c r="BU219" s="18" t="n">
        <f aca="false">Algae_yield_cost_factor/AC219</f>
        <v>0.047355681979641</v>
      </c>
    </row>
    <row r="220" customFormat="false" ht="15" hidden="false" customHeight="false" outlineLevel="0" collapsed="false">
      <c r="A220" s="18" t="s">
        <v>698</v>
      </c>
      <c r="B220" s="18" t="s">
        <v>22</v>
      </c>
      <c r="C220" s="18" t="s">
        <v>688</v>
      </c>
      <c r="D220" s="18" t="s">
        <v>688</v>
      </c>
      <c r="E220" s="185" t="n">
        <v>8.5305</v>
      </c>
      <c r="F220" s="18" t="n">
        <f aca="false">E220/$B$2*$F$3/1000</f>
        <v>0.020899725</v>
      </c>
      <c r="G220" s="18" t="n">
        <f aca="false">LOOKUP(RIGHT(D220,5),Ref!$C$4:$C$21,Ref!$E$4:$E$21)*$G$3</f>
        <v>4.5</v>
      </c>
      <c r="H220" s="222" t="n">
        <f aca="false">$E220</f>
        <v>8.5305</v>
      </c>
      <c r="I220" s="185" t="n">
        <f aca="false">$E220</f>
        <v>8.5305</v>
      </c>
      <c r="J220" s="185" t="n">
        <f aca="false">$E220</f>
        <v>8.5305</v>
      </c>
      <c r="K220" s="185" t="n">
        <f aca="false">$E220</f>
        <v>8.5305</v>
      </c>
      <c r="L220" s="185" t="n">
        <f aca="false">$E220</f>
        <v>8.5305</v>
      </c>
      <c r="M220" s="185" t="n">
        <f aca="false">M$3*$E220</f>
        <v>8.93506641114123</v>
      </c>
      <c r="N220" s="185" t="n">
        <f aca="false">N$3*$E220</f>
        <v>9.17760820467122</v>
      </c>
      <c r="O220" s="185" t="n">
        <f aca="false">O$3*$E220</f>
        <v>9.54736052630967</v>
      </c>
      <c r="P220" s="185" t="n">
        <f aca="false">P$3*$E220</f>
        <v>10.0866809308301</v>
      </c>
      <c r="Q220" s="185" t="n">
        <f aca="false">Q$3*$E220</f>
        <v>10.8247047949967</v>
      </c>
      <c r="R220" s="185" t="n">
        <f aca="false">R$3*$E220</f>
        <v>11.7511106751826</v>
      </c>
      <c r="S220" s="185" t="n">
        <f aca="false">S$3*$E220</f>
        <v>12.79575</v>
      </c>
      <c r="T220" s="185" t="n">
        <f aca="false">T$3*$E220</f>
        <v>13.8403893248174</v>
      </c>
      <c r="U220" s="185" t="n">
        <f aca="false">U$3*$E220</f>
        <v>14.7667952050033</v>
      </c>
      <c r="V220" s="185" t="n">
        <f aca="false">V$3*$E220</f>
        <v>15.5048190691699</v>
      </c>
      <c r="W220" s="185" t="n">
        <f aca="false">W$3*$E220</f>
        <v>16.0441394736903</v>
      </c>
      <c r="X220" s="185" t="n">
        <f aca="false">X$3*$E220</f>
        <v>16.4138917953288</v>
      </c>
      <c r="Y220" s="185" t="n">
        <f aca="false">Y$3*$E220</f>
        <v>16.6564335888588</v>
      </c>
      <c r="Z220" s="185" t="n">
        <f aca="false">Z$3*$E220</f>
        <v>16.8109520155756</v>
      </c>
      <c r="AA220" s="185" t="n">
        <f aca="false">AA$3*$E220</f>
        <v>16.9075686359184</v>
      </c>
      <c r="AB220" s="185" t="n">
        <f aca="false">AB$3*$E220</f>
        <v>16.9672758858897</v>
      </c>
      <c r="AC220" s="185" t="n">
        <f aca="false">AC$3*$E220</f>
        <v>17.0039066351904</v>
      </c>
      <c r="AD220" s="219" t="n">
        <f aca="false">Algae_electricity_factor/H220</f>
        <v>0.00161111272534192</v>
      </c>
      <c r="AE220" s="220" t="n">
        <f aca="false">Algae_electricity_factor/I220</f>
        <v>0.00161111272534192</v>
      </c>
      <c r="AF220" s="220" t="n">
        <f aca="false">Algae_electricity_factor/J220</f>
        <v>0.00161111272534192</v>
      </c>
      <c r="AG220" s="220" t="n">
        <f aca="false">Algae_electricity_factor/K220</f>
        <v>0.00161111272534192</v>
      </c>
      <c r="AH220" s="220" t="n">
        <f aca="false">Algae_electricity_factor/L220</f>
        <v>0.00161111272534192</v>
      </c>
      <c r="AI220" s="220" t="n">
        <f aca="false">Algae_electricity_factor/M220</f>
        <v>0.00153816395660946</v>
      </c>
      <c r="AJ220" s="220" t="n">
        <f aca="false">Algae_electricity_factor/N220</f>
        <v>0.00149751403601366</v>
      </c>
      <c r="AK220" s="220" t="n">
        <f aca="false">Algae_electricity_factor/O220</f>
        <v>0.00143951797626747</v>
      </c>
      <c r="AL220" s="220" t="n">
        <f aca="false">Algae_electricity_factor/P220</f>
        <v>0.00136254900871522</v>
      </c>
      <c r="AM220" s="220" t="n">
        <f aca="false">Algae_electricity_factor/Q220</f>
        <v>0.00126965098483625</v>
      </c>
      <c r="AN220" s="220" t="n">
        <f aca="false">Algae_electricity_factor/R220</f>
        <v>0.00116955728555554</v>
      </c>
      <c r="AO220" s="220" t="n">
        <f aca="false">Algae_electricity_factor/S220</f>
        <v>0.00107407515022795</v>
      </c>
      <c r="AP220" s="220" t="n">
        <f aca="false">Algae_electricity_factor/T220</f>
        <v>0.000993006539121367</v>
      </c>
      <c r="AQ220" s="220" t="n">
        <f aca="false">Algae_electricity_factor/U220</f>
        <v>0.000930709535327793</v>
      </c>
      <c r="AR220" s="220" t="n">
        <f aca="false">Algae_electricity_factor/V220</f>
        <v>0.000886408093007504</v>
      </c>
      <c r="AS220" s="220" t="n">
        <f aca="false">Algae_electricity_factor/W220</f>
        <v>0.00085661166970447</v>
      </c>
      <c r="AT220" s="220" t="n">
        <f aca="false">Algae_electricity_factor/X220</f>
        <v>0.000837314957043919</v>
      </c>
      <c r="AU220" s="220" t="n">
        <f aca="false">Algae_electricity_factor/Y220</f>
        <v>0.000825122438738755</v>
      </c>
      <c r="AV220" s="220" t="n">
        <f aca="false">Algae_electricity_factor/Z220</f>
        <v>0.000817538298294805</v>
      </c>
      <c r="AW220" s="220" t="n">
        <f aca="false">Algae_electricity_factor/AA220</f>
        <v>0.000812866556953222</v>
      </c>
      <c r="AX220" s="220" t="n">
        <f aca="false">Algae_electricity_factor/AB220</f>
        <v>0.000810006107990421</v>
      </c>
      <c r="AY220" s="220" t="n">
        <f aca="false">Algae_electricity_factor/AC220</f>
        <v>0.000808261148357886</v>
      </c>
      <c r="AZ220" s="211" t="n">
        <f aca="false">Algae_yield_cost_factor/H220</f>
        <v>0.0891908585998731</v>
      </c>
      <c r="BA220" s="18" t="n">
        <f aca="false">Algae_yield_cost_factor/I220</f>
        <v>0.0891908585998731</v>
      </c>
      <c r="BB220" s="18" t="n">
        <f aca="false">Algae_yield_cost_factor/J220</f>
        <v>0.0891908585998731</v>
      </c>
      <c r="BC220" s="18" t="n">
        <f aca="false">Algae_yield_cost_factor/K220</f>
        <v>0.0891908585998731</v>
      </c>
      <c r="BD220" s="18" t="n">
        <f aca="false">Algae_yield_cost_factor/L220</f>
        <v>0.0891908585998731</v>
      </c>
      <c r="BE220" s="18" t="n">
        <f aca="false">Algae_yield_cost_factor/M220</f>
        <v>0.0851524302424339</v>
      </c>
      <c r="BF220" s="18" t="n">
        <f aca="false">Algae_yield_cost_factor/N220</f>
        <v>0.0829020592640863</v>
      </c>
      <c r="BG220" s="18" t="n">
        <f aca="false">Algae_yield_cost_factor/O220</f>
        <v>0.079691409703191</v>
      </c>
      <c r="BH220" s="18" t="n">
        <f aca="false">Algae_yield_cost_factor/P220</f>
        <v>0.0754304239921666</v>
      </c>
      <c r="BI220" s="18" t="n">
        <f aca="false">Algae_yield_cost_factor/Q220</f>
        <v>0.0702876091030108</v>
      </c>
      <c r="BJ220" s="18" t="n">
        <f aca="false">Algae_yield_cost_factor/R220</f>
        <v>0.0647464431505234</v>
      </c>
      <c r="BK220" s="18" t="n">
        <f aca="false">Algae_yield_cost_factor/S220</f>
        <v>0.0594605723999154</v>
      </c>
      <c r="BL220" s="18" t="n">
        <f aca="false">Algae_yield_cost_factor/T220</f>
        <v>0.0549726312916602</v>
      </c>
      <c r="BM220" s="18" t="n">
        <f aca="false">Algae_yield_cost_factor/U220</f>
        <v>0.0515238823809536</v>
      </c>
      <c r="BN220" s="18" t="n">
        <f aca="false">Algae_yield_cost_factor/V220</f>
        <v>0.0490713639347842</v>
      </c>
      <c r="BO220" s="18" t="n">
        <f aca="false">Algae_yield_cost_factor/W220</f>
        <v>0.0474218402634726</v>
      </c>
      <c r="BP220" s="18" t="n">
        <f aca="false">Algae_yield_cost_factor/X220</f>
        <v>0.0463535783453103</v>
      </c>
      <c r="BQ220" s="18" t="n">
        <f aca="false">Algae_yield_cost_factor/Y220</f>
        <v>0.0456786031191655</v>
      </c>
      <c r="BR220" s="18" t="n">
        <f aca="false">Algae_yield_cost_factor/Z220</f>
        <v>0.0452587467135286</v>
      </c>
      <c r="BS220" s="18" t="n">
        <f aca="false">Algae_yield_cost_factor/AA220</f>
        <v>0.0450001201041933</v>
      </c>
      <c r="BT220" s="18" t="n">
        <f aca="false">Algae_yield_cost_factor/AB220</f>
        <v>0.0448417662565944</v>
      </c>
      <c r="BU220" s="18" t="n">
        <f aca="false">Algae_yield_cost_factor/AC220</f>
        <v>0.0447451656616144</v>
      </c>
    </row>
    <row r="221" customFormat="false" ht="15" hidden="false" customHeight="false" outlineLevel="0" collapsed="false">
      <c r="A221" s="18" t="s">
        <v>704</v>
      </c>
      <c r="B221" s="18" t="s">
        <v>22</v>
      </c>
      <c r="C221" s="18" t="s">
        <v>691</v>
      </c>
      <c r="D221" s="18" t="s">
        <v>691</v>
      </c>
      <c r="E221" s="185" t="n">
        <v>8.37375</v>
      </c>
      <c r="F221" s="18" t="n">
        <f aca="false">E221/$B$2*$F$3/1000</f>
        <v>0.0205156875</v>
      </c>
      <c r="G221" s="18" t="n">
        <f aca="false">LOOKUP(RIGHT(D221,5),Ref!$C$4:$C$21,Ref!$E$4:$E$21)*$G$3</f>
        <v>2</v>
      </c>
      <c r="H221" s="222" t="n">
        <f aca="false">$E221</f>
        <v>8.37375</v>
      </c>
      <c r="I221" s="185" t="n">
        <f aca="false">$E221</f>
        <v>8.37375</v>
      </c>
      <c r="J221" s="185" t="n">
        <f aca="false">$E221</f>
        <v>8.37375</v>
      </c>
      <c r="K221" s="185" t="n">
        <f aca="false">$E221</f>
        <v>8.37375</v>
      </c>
      <c r="L221" s="185" t="n">
        <f aca="false">$E221</f>
        <v>8.37375</v>
      </c>
      <c r="M221" s="185" t="n">
        <f aca="false">M$3*$E221</f>
        <v>8.77088240552065</v>
      </c>
      <c r="N221" s="185" t="n">
        <f aca="false">N$3*$E221</f>
        <v>9.00896743495289</v>
      </c>
      <c r="O221" s="185" t="n">
        <f aca="false">O$3*$E221</f>
        <v>9.37192546828271</v>
      </c>
      <c r="P221" s="185" t="n">
        <f aca="false">P$3*$E221</f>
        <v>9.90133572997348</v>
      </c>
      <c r="Q221" s="185" t="n">
        <f aca="false">Q$3*$E221</f>
        <v>10.625798227197</v>
      </c>
      <c r="R221" s="185" t="n">
        <f aca="false">R$3*$E221</f>
        <v>11.5351811753485</v>
      </c>
      <c r="S221" s="185" t="n">
        <f aca="false">S$3*$E221</f>
        <v>12.560625</v>
      </c>
      <c r="T221" s="185" t="n">
        <f aca="false">T$3*$E221</f>
        <v>13.5860688246515</v>
      </c>
      <c r="U221" s="185" t="n">
        <f aca="false">U$3*$E221</f>
        <v>14.495451772803</v>
      </c>
      <c r="V221" s="185" t="n">
        <f aca="false">V$3*$E221</f>
        <v>15.2199142700265</v>
      </c>
      <c r="W221" s="185" t="n">
        <f aca="false">W$3*$E221</f>
        <v>15.7493245317173</v>
      </c>
      <c r="X221" s="185" t="n">
        <f aca="false">X$3*$E221</f>
        <v>16.1122825650471</v>
      </c>
      <c r="Y221" s="185" t="n">
        <f aca="false">Y$3*$E221</f>
        <v>16.3503675944793</v>
      </c>
      <c r="Z221" s="185" t="n">
        <f aca="false">Z$3*$E221</f>
        <v>16.5020467077458</v>
      </c>
      <c r="AA221" s="185" t="n">
        <f aca="false">AA$3*$E221</f>
        <v>16.5968879743299</v>
      </c>
      <c r="AB221" s="185" t="n">
        <f aca="false">AB$3*$E221</f>
        <v>16.6554980891471</v>
      </c>
      <c r="AC221" s="185" t="n">
        <f aca="false">AC$3*$E221</f>
        <v>16.6914557395728</v>
      </c>
      <c r="AD221" s="219" t="n">
        <f aca="false">Algae_electricity_factor/H221</f>
        <v>0.00164127148571778</v>
      </c>
      <c r="AE221" s="220" t="n">
        <f aca="false">Algae_electricity_factor/I221</f>
        <v>0.00164127148571778</v>
      </c>
      <c r="AF221" s="220" t="n">
        <f aca="false">Algae_electricity_factor/J221</f>
        <v>0.00164127148571778</v>
      </c>
      <c r="AG221" s="220" t="n">
        <f aca="false">Algae_electricity_factor/K221</f>
        <v>0.00164127148571778</v>
      </c>
      <c r="AH221" s="220" t="n">
        <f aca="false">Algae_electricity_factor/L221</f>
        <v>0.00164127148571778</v>
      </c>
      <c r="AI221" s="220" t="n">
        <f aca="false">Algae_electricity_factor/M221</f>
        <v>0.00156695717353121</v>
      </c>
      <c r="AJ221" s="220" t="n">
        <f aca="false">Algae_electricity_factor/N221</f>
        <v>0.0015255463184612</v>
      </c>
      <c r="AK221" s="220" t="n">
        <f aca="false">Algae_electricity_factor/O221</f>
        <v>0.00146646461818775</v>
      </c>
      <c r="AL221" s="220" t="n">
        <f aca="false">Algae_electricity_factor/P221</f>
        <v>0.00138805485222811</v>
      </c>
      <c r="AM221" s="220" t="n">
        <f aca="false">Algae_electricity_factor/Q221</f>
        <v>0.00129341785056225</v>
      </c>
      <c r="AN221" s="220" t="n">
        <f aca="false">Algae_electricity_factor/R221</f>
        <v>0.00119145047612259</v>
      </c>
      <c r="AO221" s="220" t="n">
        <f aca="false">Algae_electricity_factor/S221</f>
        <v>0.00109418099047852</v>
      </c>
      <c r="AP221" s="220" t="n">
        <f aca="false">Algae_electricity_factor/T221</f>
        <v>0.00101159483886847</v>
      </c>
      <c r="AQ221" s="220" t="n">
        <f aca="false">Algae_electricity_factor/U221</f>
        <v>0.000948131684264963</v>
      </c>
      <c r="AR221" s="220" t="n">
        <f aca="false">Algae_electricity_factor/V221</f>
        <v>0.000903000953861832</v>
      </c>
      <c r="AS221" s="220" t="n">
        <f aca="false">Algae_electricity_factor/W221</f>
        <v>0.00087264676499943</v>
      </c>
      <c r="AT221" s="220" t="n">
        <f aca="false">Algae_electricity_factor/X221</f>
        <v>0.000852988833087106</v>
      </c>
      <c r="AU221" s="220" t="n">
        <f aca="false">Algae_electricity_factor/Y221</f>
        <v>0.000840568080449136</v>
      </c>
      <c r="AV221" s="220" t="n">
        <f aca="false">Algae_electricity_factor/Z221</f>
        <v>0.000832841970873722</v>
      </c>
      <c r="AW221" s="220" t="n">
        <f aca="false">Algae_electricity_factor/AA221</f>
        <v>0.000828082778216386</v>
      </c>
      <c r="AX221" s="220" t="n">
        <f aca="false">Algae_electricity_factor/AB221</f>
        <v>0.000825168783903542</v>
      </c>
      <c r="AY221" s="220" t="n">
        <f aca="false">Algae_electricity_factor/AC221</f>
        <v>0.000823391160002024</v>
      </c>
      <c r="AZ221" s="211" t="n">
        <f aca="false">Algae_yield_cost_factor/H221</f>
        <v>0.0908604411746491</v>
      </c>
      <c r="BA221" s="18" t="n">
        <f aca="false">Algae_yield_cost_factor/I221</f>
        <v>0.0908604411746491</v>
      </c>
      <c r="BB221" s="18" t="n">
        <f aca="false">Algae_yield_cost_factor/J221</f>
        <v>0.0908604411746491</v>
      </c>
      <c r="BC221" s="18" t="n">
        <f aca="false">Algae_yield_cost_factor/K221</f>
        <v>0.0908604411746491</v>
      </c>
      <c r="BD221" s="18" t="n">
        <f aca="false">Algae_yield_cost_factor/L221</f>
        <v>0.0908604411746491</v>
      </c>
      <c r="BE221" s="18" t="n">
        <f aca="false">Algae_yield_cost_factor/M221</f>
        <v>0.0867464166213563</v>
      </c>
      <c r="BF221" s="18" t="n">
        <f aca="false">Algae_yield_cost_factor/N221</f>
        <v>0.0844539204719854</v>
      </c>
      <c r="BG221" s="18" t="n">
        <f aca="false">Algae_yield_cost_factor/O221</f>
        <v>0.0811831700818715</v>
      </c>
      <c r="BH221" s="18" t="n">
        <f aca="false">Algae_yield_cost_factor/P221</f>
        <v>0.076842422076749</v>
      </c>
      <c r="BI221" s="18" t="n">
        <f aca="false">Algae_yield_cost_factor/Q221</f>
        <v>0.0716033377463184</v>
      </c>
      <c r="BJ221" s="18" t="n">
        <f aca="false">Algae_yield_cost_factor/R221</f>
        <v>0.0659584455346219</v>
      </c>
      <c r="BK221" s="18" t="n">
        <f aca="false">Algae_yield_cost_factor/S221</f>
        <v>0.0605736274497661</v>
      </c>
      <c r="BL221" s="18" t="n">
        <f aca="false">Algae_yield_cost_factor/T221</f>
        <v>0.0560016756212578</v>
      </c>
      <c r="BM221" s="18" t="n">
        <f aca="false">Algae_yield_cost_factor/U221</f>
        <v>0.0524883688491685</v>
      </c>
      <c r="BN221" s="18" t="n">
        <f aca="false">Algae_yield_cost_factor/V221</f>
        <v>0.0499899411907063</v>
      </c>
      <c r="BO221" s="18" t="n">
        <f aca="false">Algae_yield_cost_factor/W221</f>
        <v>0.0483095397363849</v>
      </c>
      <c r="BP221" s="18" t="n">
        <f aca="false">Algae_yield_cost_factor/X221</f>
        <v>0.0472212807970944</v>
      </c>
      <c r="BQ221" s="18" t="n">
        <f aca="false">Algae_yield_cost_factor/Y221</f>
        <v>0.0465336705667164</v>
      </c>
      <c r="BR221" s="18" t="n">
        <f aca="false">Algae_yield_cost_factor/Z221</f>
        <v>0.0461059547800873</v>
      </c>
      <c r="BS221" s="18" t="n">
        <f aca="false">Algae_yield_cost_factor/AA221</f>
        <v>0.0458424868844688</v>
      </c>
      <c r="BT221" s="18" t="n">
        <f aca="false">Algae_yield_cost_factor/AB221</f>
        <v>0.0456811687776538</v>
      </c>
      <c r="BU221" s="18" t="n">
        <f aca="false">Algae_yield_cost_factor/AC221</f>
        <v>0.0455827598956742</v>
      </c>
    </row>
    <row r="222" customFormat="false" ht="15" hidden="false" customHeight="false" outlineLevel="0" collapsed="false">
      <c r="A222" s="18" t="s">
        <v>704</v>
      </c>
      <c r="B222" s="18" t="s">
        <v>22</v>
      </c>
      <c r="C222" s="18" t="s">
        <v>692</v>
      </c>
      <c r="D222" s="18" t="s">
        <v>692</v>
      </c>
      <c r="E222" s="185" t="n">
        <v>8.7615</v>
      </c>
      <c r="F222" s="18" t="n">
        <f aca="false">E222/$B$2*$F$3/1000</f>
        <v>0.021465675</v>
      </c>
      <c r="G222" s="18" t="n">
        <f aca="false">LOOKUP(RIGHT(D222,5),Ref!$C$4:$C$21,Ref!$E$4:$E$21)*$G$3</f>
        <v>2.5</v>
      </c>
      <c r="H222" s="222" t="n">
        <f aca="false">$E222</f>
        <v>8.7615</v>
      </c>
      <c r="I222" s="185" t="n">
        <f aca="false">$E222</f>
        <v>8.7615</v>
      </c>
      <c r="J222" s="185" t="n">
        <f aca="false">$E222</f>
        <v>8.7615</v>
      </c>
      <c r="K222" s="185" t="n">
        <f aca="false">$E222</f>
        <v>8.7615</v>
      </c>
      <c r="L222" s="185" t="n">
        <f aca="false">$E222</f>
        <v>8.7615</v>
      </c>
      <c r="M222" s="185" t="n">
        <f aca="false">M$3*$E222</f>
        <v>9.17702178784525</v>
      </c>
      <c r="N222" s="185" t="n">
        <f aca="false">N$3*$E222</f>
        <v>9.42613144425613</v>
      </c>
      <c r="O222" s="185" t="n">
        <f aca="false">O$3*$E222</f>
        <v>9.80589640129678</v>
      </c>
      <c r="P222" s="185" t="n">
        <f aca="false">P$3*$E222</f>
        <v>10.3598212268294</v>
      </c>
      <c r="Q222" s="185" t="n">
        <f aca="false">Q$3*$E222</f>
        <v>11.1178302633332</v>
      </c>
      <c r="R222" s="185" t="n">
        <f aca="false">R$3*$E222</f>
        <v>12.069322569675</v>
      </c>
      <c r="S222" s="185" t="n">
        <f aca="false">S$3*$E222</f>
        <v>13.14225</v>
      </c>
      <c r="T222" s="185" t="n">
        <f aca="false">T$3*$E222</f>
        <v>14.215177430325</v>
      </c>
      <c r="U222" s="185" t="n">
        <f aca="false">U$3*$E222</f>
        <v>15.1666697366668</v>
      </c>
      <c r="V222" s="185" t="n">
        <f aca="false">V$3*$E222</f>
        <v>15.9246787731706</v>
      </c>
      <c r="W222" s="185" t="n">
        <f aca="false">W$3*$E222</f>
        <v>16.4786035987032</v>
      </c>
      <c r="X222" s="185" t="n">
        <f aca="false">X$3*$E222</f>
        <v>16.8583685557439</v>
      </c>
      <c r="Y222" s="185" t="n">
        <f aca="false">Y$3*$E222</f>
        <v>17.1074782121548</v>
      </c>
      <c r="Z222" s="185" t="n">
        <f aca="false">Z$3*$E222</f>
        <v>17.266180890272</v>
      </c>
      <c r="AA222" s="185" t="n">
        <f aca="false">AA$3*$E222</f>
        <v>17.3654138214171</v>
      </c>
      <c r="AB222" s="185" t="n">
        <f aca="false">AB$3*$E222</f>
        <v>17.4267379021421</v>
      </c>
      <c r="AC222" s="185" t="n">
        <f aca="false">AC$3*$E222</f>
        <v>17.4643605866269</v>
      </c>
      <c r="AD222" s="219" t="n">
        <f aca="false">Algae_electricity_factor/H222</f>
        <v>0.00156863517702782</v>
      </c>
      <c r="AE222" s="220" t="n">
        <f aca="false">Algae_electricity_factor/I222</f>
        <v>0.00156863517702782</v>
      </c>
      <c r="AF222" s="220" t="n">
        <f aca="false">Algae_electricity_factor/J222</f>
        <v>0.00156863517702782</v>
      </c>
      <c r="AG222" s="220" t="n">
        <f aca="false">Algae_electricity_factor/K222</f>
        <v>0.00156863517702782</v>
      </c>
      <c r="AH222" s="220" t="n">
        <f aca="false">Algae_electricity_factor/L222</f>
        <v>0.00156863517702782</v>
      </c>
      <c r="AI222" s="220" t="n">
        <f aca="false">Algae_electricity_factor/M222</f>
        <v>0.00149760972799829</v>
      </c>
      <c r="AJ222" s="220" t="n">
        <f aca="false">Algae_electricity_factor/N222</f>
        <v>0.0014580315567214</v>
      </c>
      <c r="AK222" s="220" t="n">
        <f aca="false">Algae_electricity_factor/O222</f>
        <v>0.0014015645832962</v>
      </c>
      <c r="AL222" s="220" t="n">
        <f aca="false">Algae_electricity_factor/P222</f>
        <v>0.00132662492938939</v>
      </c>
      <c r="AM222" s="220" t="n">
        <f aca="false">Algae_electricity_factor/Q222</f>
        <v>0.00123617619427559</v>
      </c>
      <c r="AN222" s="220" t="n">
        <f aca="false">Algae_electricity_factor/R222</f>
        <v>0.00113872150024899</v>
      </c>
      <c r="AO222" s="220" t="n">
        <f aca="false">Algae_electricity_factor/S222</f>
        <v>0.00104575678468521</v>
      </c>
      <c r="AP222" s="220" t="n">
        <f aca="false">Algae_electricity_factor/T222</f>
        <v>0.000966825575754702</v>
      </c>
      <c r="AQ222" s="220" t="n">
        <f aca="false">Algae_electricity_factor/U222</f>
        <v>0.000906171054170375</v>
      </c>
      <c r="AR222" s="220" t="n">
        <f aca="false">Algae_electricity_factor/V222</f>
        <v>0.00086303763481145</v>
      </c>
      <c r="AS222" s="220" t="n">
        <f aca="false">Algae_electricity_factor/W222</f>
        <v>0.000834026804589851</v>
      </c>
      <c r="AT222" s="220" t="n">
        <f aca="false">Algae_electricity_factor/X222</f>
        <v>0.000815238856481556</v>
      </c>
      <c r="AU222" s="220" t="n">
        <f aca="false">Algae_electricity_factor/Y222</f>
        <v>0.000803367798169372</v>
      </c>
      <c r="AV222" s="220" t="n">
        <f aca="false">Algae_electricity_factor/Z222</f>
        <v>0.000795983616230535</v>
      </c>
      <c r="AW222" s="220" t="n">
        <f aca="false">Algae_electricity_factor/AA222</f>
        <v>0.000791435046977054</v>
      </c>
      <c r="AX222" s="220" t="n">
        <f aca="false">Algae_electricity_factor/AB222</f>
        <v>0.000788650014747736</v>
      </c>
      <c r="AY222" s="220" t="n">
        <f aca="false">Algae_electricity_factor/AC222</f>
        <v>0.000786951061583855</v>
      </c>
      <c r="AZ222" s="211" t="n">
        <f aca="false">Algae_yield_cost_factor/H222</f>
        <v>0.0868393105388595</v>
      </c>
      <c r="BA222" s="18" t="n">
        <f aca="false">Algae_yield_cost_factor/I222</f>
        <v>0.0868393105388595</v>
      </c>
      <c r="BB222" s="18" t="n">
        <f aca="false">Algae_yield_cost_factor/J222</f>
        <v>0.0868393105388595</v>
      </c>
      <c r="BC222" s="18" t="n">
        <f aca="false">Algae_yield_cost_factor/K222</f>
        <v>0.0868393105388595</v>
      </c>
      <c r="BD222" s="18" t="n">
        <f aca="false">Algae_yield_cost_factor/L222</f>
        <v>0.0868393105388595</v>
      </c>
      <c r="BE222" s="18" t="n">
        <f aca="false">Algae_yield_cost_factor/M222</f>
        <v>0.0829073567520496</v>
      </c>
      <c r="BF222" s="18" t="n">
        <f aca="false">Algae_yield_cost_factor/N222</f>
        <v>0.0807163175885736</v>
      </c>
      <c r="BG222" s="18" t="n">
        <f aca="false">Algae_yield_cost_factor/O222</f>
        <v>0.0775903179219393</v>
      </c>
      <c r="BH222" s="18" t="n">
        <f aca="false">Algae_yield_cost_factor/P222</f>
        <v>0.0734416745837102</v>
      </c>
      <c r="BI222" s="18" t="n">
        <f aca="false">Algae_yield_cost_factor/Q222</f>
        <v>0.0684344518008599</v>
      </c>
      <c r="BJ222" s="18" t="n">
        <f aca="false">Algae_yield_cost_factor/R222</f>
        <v>0.0630393806192478</v>
      </c>
      <c r="BK222" s="18" t="n">
        <f aca="false">Algae_yield_cost_factor/S222</f>
        <v>0.057892873692573</v>
      </c>
      <c r="BL222" s="18" t="n">
        <f aca="false">Algae_yield_cost_factor/T222</f>
        <v>0.0535232587152323</v>
      </c>
      <c r="BM222" s="18" t="n">
        <f aca="false">Algae_yield_cost_factor/U222</f>
        <v>0.050165437271098</v>
      </c>
      <c r="BN222" s="18" t="n">
        <f aca="false">Algae_yield_cost_factor/V222</f>
        <v>0.0477775803282174</v>
      </c>
      <c r="BO222" s="18" t="n">
        <f aca="false">Algae_yield_cost_factor/W222</f>
        <v>0.0461715469231927</v>
      </c>
      <c r="BP222" s="18" t="n">
        <f aca="false">Algae_yield_cost_factor/X222</f>
        <v>0.0451314501026844</v>
      </c>
      <c r="BQ222" s="18" t="n">
        <f aca="false">Algae_yield_cost_factor/Y222</f>
        <v>0.0444742708335378</v>
      </c>
      <c r="BR222" s="18" t="n">
        <f aca="false">Algae_yield_cost_factor/Z222</f>
        <v>0.0440654840883132</v>
      </c>
      <c r="BS222" s="18" t="n">
        <f aca="false">Algae_yield_cost_factor/AA222</f>
        <v>0.0438136762596382</v>
      </c>
      <c r="BT222" s="18" t="n">
        <f aca="false">Algae_yield_cost_factor/AB222</f>
        <v>0.0436594974664017</v>
      </c>
      <c r="BU222" s="18" t="n">
        <f aca="false">Algae_yield_cost_factor/AC222</f>
        <v>0.0435654437797639</v>
      </c>
    </row>
    <row r="223" customFormat="false" ht="15" hidden="false" customHeight="false" outlineLevel="0" collapsed="false">
      <c r="A223" s="18" t="s">
        <v>704</v>
      </c>
      <c r="B223" s="18" t="s">
        <v>22</v>
      </c>
      <c r="C223" s="18" t="s">
        <v>693</v>
      </c>
      <c r="D223" s="18" t="s">
        <v>693</v>
      </c>
      <c r="E223" s="185" t="n">
        <v>7.96125</v>
      </c>
      <c r="F223" s="18" t="n">
        <f aca="false">E223/$B$2*$F$3/1000</f>
        <v>0.0195050625</v>
      </c>
      <c r="G223" s="18" t="n">
        <f aca="false">LOOKUP(RIGHT(D223,5),Ref!$C$4:$C$21,Ref!$E$4:$E$21)*$G$3</f>
        <v>3</v>
      </c>
      <c r="H223" s="222" t="n">
        <f aca="false">$E223</f>
        <v>7.96125</v>
      </c>
      <c r="I223" s="185" t="n">
        <f aca="false">$E223</f>
        <v>7.96125</v>
      </c>
      <c r="J223" s="185" t="n">
        <f aca="false">$E223</f>
        <v>7.96125</v>
      </c>
      <c r="K223" s="185" t="n">
        <f aca="false">$E223</f>
        <v>7.96125</v>
      </c>
      <c r="L223" s="185" t="n">
        <f aca="false">$E223</f>
        <v>7.96125</v>
      </c>
      <c r="M223" s="185" t="n">
        <f aca="false">M$3*$E223</f>
        <v>8.3388192328349</v>
      </c>
      <c r="N223" s="185" t="n">
        <f aca="false">N$3*$E223</f>
        <v>8.56517593569413</v>
      </c>
      <c r="O223" s="185" t="n">
        <f aca="false">O$3*$E223</f>
        <v>8.91025426294858</v>
      </c>
      <c r="P223" s="185" t="n">
        <f aca="false">P$3*$E223</f>
        <v>9.41358520140335</v>
      </c>
      <c r="Q223" s="185" t="n">
        <f aca="false">Q$3*$E223</f>
        <v>10.1023598908819</v>
      </c>
      <c r="R223" s="185" t="n">
        <f aca="false">R$3*$E223</f>
        <v>10.9669456494692</v>
      </c>
      <c r="S223" s="185" t="n">
        <f aca="false">S$3*$E223</f>
        <v>11.941875</v>
      </c>
      <c r="T223" s="185" t="n">
        <f aca="false">T$3*$E223</f>
        <v>12.9168043505308</v>
      </c>
      <c r="U223" s="185" t="n">
        <f aca="false">U$3*$E223</f>
        <v>13.7813901091181</v>
      </c>
      <c r="V223" s="185" t="n">
        <f aca="false">V$3*$E223</f>
        <v>14.4701647985966</v>
      </c>
      <c r="W223" s="185" t="n">
        <f aca="false">W$3*$E223</f>
        <v>14.9734957370514</v>
      </c>
      <c r="X223" s="185" t="n">
        <f aca="false">X$3*$E223</f>
        <v>15.3185740643059</v>
      </c>
      <c r="Y223" s="185" t="n">
        <f aca="false">Y$3*$E223</f>
        <v>15.5449307671651</v>
      </c>
      <c r="Z223" s="185" t="n">
        <f aca="false">Z$3*$E223</f>
        <v>15.6891380029308</v>
      </c>
      <c r="AA223" s="185" t="n">
        <f aca="false">AA$3*$E223</f>
        <v>15.7793072859393</v>
      </c>
      <c r="AB223" s="185" t="n">
        <f aca="false">AB$3*$E223</f>
        <v>15.8350302029822</v>
      </c>
      <c r="AC223" s="185" t="n">
        <f aca="false">AC$3*$E223</f>
        <v>15.869216540579</v>
      </c>
      <c r="AD223" s="219" t="n">
        <f aca="false">Algae_electricity_factor/H223</f>
        <v>0.00172631145907103</v>
      </c>
      <c r="AE223" s="220" t="n">
        <f aca="false">Algae_electricity_factor/I223</f>
        <v>0.00172631145907103</v>
      </c>
      <c r="AF223" s="220" t="n">
        <f aca="false">Algae_electricity_factor/J223</f>
        <v>0.00172631145907103</v>
      </c>
      <c r="AG223" s="220" t="n">
        <f aca="false">Algae_electricity_factor/K223</f>
        <v>0.00172631145907103</v>
      </c>
      <c r="AH223" s="220" t="n">
        <f aca="false">Algae_electricity_factor/L223</f>
        <v>0.00172631145907103</v>
      </c>
      <c r="AI223" s="220" t="n">
        <f aca="false">Algae_electricity_factor/M223</f>
        <v>0.00164814666438775</v>
      </c>
      <c r="AJ223" s="220" t="n">
        <f aca="false">Algae_electricity_factor/N223</f>
        <v>0.00160459016915868</v>
      </c>
      <c r="AK223" s="220" t="n">
        <f aca="false">Algae_electricity_factor/O223</f>
        <v>0.00154244724089178</v>
      </c>
      <c r="AL223" s="220" t="n">
        <f aca="false">Algae_electricity_factor/P223</f>
        <v>0.00145997479275807</v>
      </c>
      <c r="AM223" s="220" t="n">
        <f aca="false">Algae_electricity_factor/Q223</f>
        <v>0.00136043431950329</v>
      </c>
      <c r="AN223" s="220" t="n">
        <f aca="false">Algae_electricity_factor/R223</f>
        <v>0.00125318366141392</v>
      </c>
      <c r="AO223" s="220" t="n">
        <f aca="false">Algae_electricity_factor/S223</f>
        <v>0.00115087430604736</v>
      </c>
      <c r="AP223" s="220" t="n">
        <f aca="false">Algae_electricity_factor/T223</f>
        <v>0.00106400907922435</v>
      </c>
      <c r="AQ223" s="220" t="n">
        <f aca="false">Algae_electricity_factor/U223</f>
        <v>0.000997257678268329</v>
      </c>
      <c r="AR223" s="220" t="n">
        <f aca="false">Algae_electricity_factor/V223</f>
        <v>0.000949788568051564</v>
      </c>
      <c r="AS223" s="220" t="n">
        <f aca="false">Algae_electricity_factor/W223</f>
        <v>0.000917861623289556</v>
      </c>
      <c r="AT223" s="220" t="n">
        <f aca="false">Algae_electricity_factor/X223</f>
        <v>0.000897185145682293</v>
      </c>
      <c r="AU223" s="220" t="n">
        <f aca="false">Algae_electricity_factor/Y223</f>
        <v>0.000884120830731474</v>
      </c>
      <c r="AV223" s="220" t="n">
        <f aca="false">Algae_electricity_factor/Z223</f>
        <v>0.000875994404597749</v>
      </c>
      <c r="AW223" s="220" t="n">
        <f aca="false">Algae_electricity_factor/AA223</f>
        <v>0.000870988621647287</v>
      </c>
      <c r="AX223" s="220" t="n">
        <f aca="false">Algae_electricity_factor/AB223</f>
        <v>0.000867923643173156</v>
      </c>
      <c r="AY223" s="220" t="n">
        <f aca="false">Algae_electricity_factor/AC223</f>
        <v>0.000866053914406274</v>
      </c>
      <c r="AZ223" s="211" t="n">
        <f aca="false">Algae_yield_cost_factor/H223</f>
        <v>0.0955682360541646</v>
      </c>
      <c r="BA223" s="18" t="n">
        <f aca="false">Algae_yield_cost_factor/I223</f>
        <v>0.0955682360541646</v>
      </c>
      <c r="BB223" s="18" t="n">
        <f aca="false">Algae_yield_cost_factor/J223</f>
        <v>0.0955682360541646</v>
      </c>
      <c r="BC223" s="18" t="n">
        <f aca="false">Algae_yield_cost_factor/K223</f>
        <v>0.0955682360541646</v>
      </c>
      <c r="BD223" s="18" t="n">
        <f aca="false">Algae_yield_cost_factor/L223</f>
        <v>0.0955682360541646</v>
      </c>
      <c r="BE223" s="18" t="n">
        <f aca="false">Algae_yield_cost_factor/M223</f>
        <v>0.0912410496069188</v>
      </c>
      <c r="BF223" s="18" t="n">
        <f aca="false">Algae_yield_cost_factor/N223</f>
        <v>0.0888297712736427</v>
      </c>
      <c r="BG223" s="18" t="n">
        <f aca="false">Algae_yield_cost_factor/O223</f>
        <v>0.0853895519513985</v>
      </c>
      <c r="BH223" s="18" t="n">
        <f aca="false">Algae_yield_cost_factor/P223</f>
        <v>0.0808238947232127</v>
      </c>
      <c r="BI223" s="18" t="n">
        <f aca="false">Algae_yield_cost_factor/Q223</f>
        <v>0.0753133552461276</v>
      </c>
      <c r="BJ223" s="18" t="n">
        <f aca="false">Algae_yield_cost_factor/R223</f>
        <v>0.0693759815726852</v>
      </c>
      <c r="BK223" s="18" t="n">
        <f aca="false">Algae_yield_cost_factor/S223</f>
        <v>0.0637121573694431</v>
      </c>
      <c r="BL223" s="18" t="n">
        <f aca="false">Algae_yield_cost_factor/T223</f>
        <v>0.0589033168451571</v>
      </c>
      <c r="BM223" s="18" t="n">
        <f aca="false">Algae_yield_cost_factor/U223</f>
        <v>0.0552079734527524</v>
      </c>
      <c r="BN223" s="18" t="n">
        <f aca="false">Algae_yield_cost_factor/V223</f>
        <v>0.0525800935840072</v>
      </c>
      <c r="BO223" s="18" t="n">
        <f aca="false">Algae_yield_cost_factor/W223</f>
        <v>0.0508126246968193</v>
      </c>
      <c r="BP223" s="18" t="n">
        <f aca="false">Algae_yield_cost_factor/X223</f>
        <v>0.0496679792839905</v>
      </c>
      <c r="BQ223" s="18" t="n">
        <f aca="false">Algae_yield_cost_factor/Y223</f>
        <v>0.0489447415805359</v>
      </c>
      <c r="BR223" s="18" t="n">
        <f aca="false">Algae_yield_cost_factor/Z223</f>
        <v>0.0484948643541851</v>
      </c>
      <c r="BS223" s="18" t="n">
        <f aca="false">Algae_yield_cost_factor/AA223</f>
        <v>0.0482177452722651</v>
      </c>
      <c r="BT223" s="18" t="n">
        <f aca="false">Algae_yield_cost_factor/AB223</f>
        <v>0.0480480687143198</v>
      </c>
      <c r="BU223" s="18" t="n">
        <f aca="false">Algae_yield_cost_factor/AC223</f>
        <v>0.0479445609265381</v>
      </c>
    </row>
    <row r="224" customFormat="false" ht="15" hidden="false" customHeight="false" outlineLevel="0" collapsed="false">
      <c r="A224" s="18" t="s">
        <v>704</v>
      </c>
      <c r="B224" s="18" t="s">
        <v>22</v>
      </c>
      <c r="C224" s="18" t="s">
        <v>694</v>
      </c>
      <c r="D224" s="18" t="s">
        <v>694</v>
      </c>
      <c r="E224" s="185" t="n">
        <v>8.39025</v>
      </c>
      <c r="F224" s="18" t="n">
        <f aca="false">E224/$B$2*$F$3/1000</f>
        <v>0.0205561125</v>
      </c>
      <c r="G224" s="18" t="n">
        <f aca="false">LOOKUP(RIGHT(D224,5),Ref!$C$4:$C$21,Ref!$E$4:$E$21)*$G$3</f>
        <v>3</v>
      </c>
      <c r="H224" s="222" t="n">
        <f aca="false">$E224</f>
        <v>8.39025</v>
      </c>
      <c r="I224" s="185" t="n">
        <f aca="false">$E224</f>
        <v>8.39025</v>
      </c>
      <c r="J224" s="185" t="n">
        <f aca="false">$E224</f>
        <v>8.39025</v>
      </c>
      <c r="K224" s="185" t="n">
        <f aca="false">$E224</f>
        <v>8.39025</v>
      </c>
      <c r="L224" s="185" t="n">
        <f aca="false">$E224</f>
        <v>8.39025</v>
      </c>
      <c r="M224" s="185" t="n">
        <f aca="false">M$3*$E224</f>
        <v>8.78816493242808</v>
      </c>
      <c r="N224" s="185" t="n">
        <f aca="false">N$3*$E224</f>
        <v>9.02671909492324</v>
      </c>
      <c r="O224" s="185" t="n">
        <f aca="false">O$3*$E224</f>
        <v>9.39039231649607</v>
      </c>
      <c r="P224" s="185" t="n">
        <f aca="false">P$3*$E224</f>
        <v>9.92084575111628</v>
      </c>
      <c r="Q224" s="185" t="n">
        <f aca="false">Q$3*$E224</f>
        <v>10.6467357606496</v>
      </c>
      <c r="R224" s="185" t="n">
        <f aca="false">R$3*$E224</f>
        <v>11.5579105963836</v>
      </c>
      <c r="S224" s="185" t="n">
        <f aca="false">S$3*$E224</f>
        <v>12.585375</v>
      </c>
      <c r="T224" s="185" t="n">
        <f aca="false">T$3*$E224</f>
        <v>13.6128394036164</v>
      </c>
      <c r="U224" s="185" t="n">
        <f aca="false">U$3*$E224</f>
        <v>14.5240142393504</v>
      </c>
      <c r="V224" s="185" t="n">
        <f aca="false">V$3*$E224</f>
        <v>15.2499042488837</v>
      </c>
      <c r="W224" s="185" t="n">
        <f aca="false">W$3*$E224</f>
        <v>15.7803576835039</v>
      </c>
      <c r="X224" s="185" t="n">
        <f aca="false">X$3*$E224</f>
        <v>16.1440309050768</v>
      </c>
      <c r="Y224" s="185" t="n">
        <f aca="false">Y$3*$E224</f>
        <v>16.3825850675719</v>
      </c>
      <c r="Z224" s="185" t="n">
        <f aca="false">Z$3*$E224</f>
        <v>16.5345630559384</v>
      </c>
      <c r="AA224" s="185" t="n">
        <f aca="false">AA$3*$E224</f>
        <v>16.6295912018656</v>
      </c>
      <c r="AB224" s="185" t="n">
        <f aca="false">AB$3*$E224</f>
        <v>16.6883168045937</v>
      </c>
      <c r="AC224" s="185" t="n">
        <f aca="false">AC$3*$E224</f>
        <v>16.7243453075325</v>
      </c>
      <c r="AD224" s="219" t="n">
        <f aca="false">Algae_electricity_factor/H224</f>
        <v>0.0016380438131795</v>
      </c>
      <c r="AE224" s="220" t="n">
        <f aca="false">Algae_electricity_factor/I224</f>
        <v>0.0016380438131795</v>
      </c>
      <c r="AF224" s="220" t="n">
        <f aca="false">Algae_electricity_factor/J224</f>
        <v>0.0016380438131795</v>
      </c>
      <c r="AG224" s="220" t="n">
        <f aca="false">Algae_electricity_factor/K224</f>
        <v>0.0016380438131795</v>
      </c>
      <c r="AH224" s="220" t="n">
        <f aca="false">Algae_electricity_factor/L224</f>
        <v>0.0016380438131795</v>
      </c>
      <c r="AI224" s="220" t="n">
        <f aca="false">Algae_electricity_factor/M224</f>
        <v>0.00156387564516635</v>
      </c>
      <c r="AJ224" s="220" t="n">
        <f aca="false">Algae_electricity_factor/N224</f>
        <v>0.00152254622737279</v>
      </c>
      <c r="AK224" s="220" t="n">
        <f aca="false">Algae_electricity_factor/O224</f>
        <v>0.00146358071530046</v>
      </c>
      <c r="AL224" s="220" t="n">
        <f aca="false">Algae_electricity_factor/P224</f>
        <v>0.00138532514750397</v>
      </c>
      <c r="AM224" s="220" t="n">
        <f aca="false">Algae_electricity_factor/Q224</f>
        <v>0.0012908742559692</v>
      </c>
      <c r="AN224" s="220" t="n">
        <f aca="false">Algae_electricity_factor/R224</f>
        <v>0.00118910740733965</v>
      </c>
      <c r="AO224" s="220" t="n">
        <f aca="false">Algae_electricity_factor/S224</f>
        <v>0.00109202920878633</v>
      </c>
      <c r="AP224" s="220" t="n">
        <f aca="false">Algae_electricity_factor/T224</f>
        <v>0.00100960546848721</v>
      </c>
      <c r="AQ224" s="220" t="n">
        <f aca="false">Algae_electricity_factor/U224</f>
        <v>0.000946267118514196</v>
      </c>
      <c r="AR224" s="220" t="n">
        <f aca="false">Algae_electricity_factor/V224</f>
        <v>0.000901225140776558</v>
      </c>
      <c r="AS224" s="220" t="n">
        <f aca="false">Algae_electricity_factor/W224</f>
        <v>0.000870930645500906</v>
      </c>
      <c r="AT224" s="220" t="n">
        <f aca="false">Algae_electricity_factor/X224</f>
        <v>0.000851311372255076</v>
      </c>
      <c r="AU224" s="220" t="n">
        <f aca="false">Algae_electricity_factor/Y224</f>
        <v>0.000838915045875981</v>
      </c>
      <c r="AV224" s="220" t="n">
        <f aca="false">Algae_electricity_factor/Z224</f>
        <v>0.000831204130223037</v>
      </c>
      <c r="AW224" s="220" t="n">
        <f aca="false">Algae_electricity_factor/AA224</f>
        <v>0.000826454296843296</v>
      </c>
      <c r="AX224" s="220" t="n">
        <f aca="false">Algae_electricity_factor/AB224</f>
        <v>0.000823546033099406</v>
      </c>
      <c r="AY224" s="220" t="n">
        <f aca="false">Algae_electricity_factor/AC224</f>
        <v>0.000821771905016769</v>
      </c>
      <c r="AZ224" s="211" t="n">
        <f aca="false">Algae_yield_cost_factor/H224</f>
        <v>0.0906817579078356</v>
      </c>
      <c r="BA224" s="18" t="n">
        <f aca="false">Algae_yield_cost_factor/I224</f>
        <v>0.0906817579078356</v>
      </c>
      <c r="BB224" s="18" t="n">
        <f aca="false">Algae_yield_cost_factor/J224</f>
        <v>0.0906817579078356</v>
      </c>
      <c r="BC224" s="18" t="n">
        <f aca="false">Algae_yield_cost_factor/K224</f>
        <v>0.0906817579078356</v>
      </c>
      <c r="BD224" s="18" t="n">
        <f aca="false">Algae_yield_cost_factor/L224</f>
        <v>0.0906817579078356</v>
      </c>
      <c r="BE224" s="18" t="n">
        <f aca="false">Algae_yield_cost_factor/M224</f>
        <v>0.0865758238649721</v>
      </c>
      <c r="BF224" s="18" t="n">
        <f aca="false">Algae_yield_cost_factor/N224</f>
        <v>0.0842878360659442</v>
      </c>
      <c r="BG224" s="18" t="n">
        <f aca="false">Algae_yield_cost_factor/O224</f>
        <v>0.0810235178299897</v>
      </c>
      <c r="BH224" s="18" t="n">
        <f aca="false">Algae_yield_cost_factor/P224</f>
        <v>0.0766913062024585</v>
      </c>
      <c r="BI224" s="18" t="n">
        <f aca="false">Algae_yield_cost_factor/Q224</f>
        <v>0.0714625248893935</v>
      </c>
      <c r="BJ224" s="18" t="n">
        <f aca="false">Algae_yield_cost_factor/R224</f>
        <v>0.0658287337439933</v>
      </c>
      <c r="BK224" s="18" t="n">
        <f aca="false">Algae_yield_cost_factor/S224</f>
        <v>0.0604545052718904</v>
      </c>
      <c r="BL224" s="18" t="n">
        <f aca="false">Algae_yield_cost_factor/T224</f>
        <v>0.0558915444990921</v>
      </c>
      <c r="BM224" s="18" t="n">
        <f aca="false">Algae_yield_cost_factor/U224</f>
        <v>0.0523851468848634</v>
      </c>
      <c r="BN224" s="18" t="n">
        <f aca="false">Algae_yield_cost_factor/V224</f>
        <v>0.0498916325551297</v>
      </c>
      <c r="BO224" s="18" t="n">
        <f aca="false">Algae_yield_cost_factor/W224</f>
        <v>0.0482145357251039</v>
      </c>
      <c r="BP224" s="18" t="n">
        <f aca="false">Algae_yield_cost_factor/X224</f>
        <v>0.0471284169213872</v>
      </c>
      <c r="BQ224" s="18" t="n">
        <f aca="false">Algae_yield_cost_factor/Y224</f>
        <v>0.0464421589235174</v>
      </c>
      <c r="BR224" s="18" t="n">
        <f aca="false">Algae_yield_cost_factor/Z224</f>
        <v>0.046015284269212</v>
      </c>
      <c r="BS224" s="18" t="n">
        <f aca="false">Algae_yield_cost_factor/AA224</f>
        <v>0.0457523345012152</v>
      </c>
      <c r="BT224" s="18" t="n">
        <f aca="false">Algae_yield_cost_factor/AB224</f>
        <v>0.0455913336374814</v>
      </c>
      <c r="BU224" s="18" t="n">
        <f aca="false">Algae_yield_cost_factor/AC224</f>
        <v>0.0454931182832933</v>
      </c>
    </row>
    <row r="225" customFormat="false" ht="15" hidden="false" customHeight="false" outlineLevel="0" collapsed="false">
      <c r="A225" s="18" t="s">
        <v>704</v>
      </c>
      <c r="B225" s="18" t="s">
        <v>22</v>
      </c>
      <c r="C225" s="18" t="s">
        <v>682</v>
      </c>
      <c r="D225" s="18" t="s">
        <v>682</v>
      </c>
      <c r="E225" s="185" t="n">
        <v>7.458</v>
      </c>
      <c r="F225" s="18" t="n">
        <f aca="false">E225/$B$2*$F$3/1000</f>
        <v>0.0182721</v>
      </c>
      <c r="G225" s="18" t="n">
        <f aca="false">LOOKUP(RIGHT(D225,5),Ref!$C$4:$C$21,Ref!$E$4:$E$21)*$G$3</f>
        <v>3</v>
      </c>
      <c r="H225" s="222" t="n">
        <f aca="false">$E225</f>
        <v>7.458</v>
      </c>
      <c r="I225" s="185" t="n">
        <f aca="false">$E225</f>
        <v>7.458</v>
      </c>
      <c r="J225" s="185" t="n">
        <f aca="false">$E225</f>
        <v>7.458</v>
      </c>
      <c r="K225" s="185" t="n">
        <f aca="false">$E225</f>
        <v>7.458</v>
      </c>
      <c r="L225" s="185" t="n">
        <f aca="false">$E225</f>
        <v>7.458</v>
      </c>
      <c r="M225" s="185" t="n">
        <f aca="false">M$3*$E225</f>
        <v>7.81170216215829</v>
      </c>
      <c r="N225" s="185" t="n">
        <f aca="false">N$3*$E225</f>
        <v>8.02375030659843</v>
      </c>
      <c r="O225" s="185" t="n">
        <f aca="false">O$3*$E225</f>
        <v>8.34701539244095</v>
      </c>
      <c r="P225" s="185" t="n">
        <f aca="false">P$3*$E225</f>
        <v>8.81852955654781</v>
      </c>
      <c r="Q225" s="185" t="n">
        <f aca="false">Q$3*$E225</f>
        <v>9.46376512057742</v>
      </c>
      <c r="R225" s="185" t="n">
        <f aca="false">R$3*$E225</f>
        <v>10.2736983078966</v>
      </c>
      <c r="S225" s="185" t="n">
        <f aca="false">S$3*$E225</f>
        <v>11.187</v>
      </c>
      <c r="T225" s="185" t="n">
        <f aca="false">T$3*$E225</f>
        <v>12.1003016921034</v>
      </c>
      <c r="U225" s="185" t="n">
        <f aca="false">U$3*$E225</f>
        <v>12.9102348794226</v>
      </c>
      <c r="V225" s="185" t="n">
        <f aca="false">V$3*$E225</f>
        <v>13.5554704434522</v>
      </c>
      <c r="W225" s="185" t="n">
        <f aca="false">W$3*$E225</f>
        <v>14.026984607559</v>
      </c>
      <c r="X225" s="185" t="n">
        <f aca="false">X$3*$E225</f>
        <v>14.3502496934016</v>
      </c>
      <c r="Y225" s="185" t="n">
        <f aca="false">Y$3*$E225</f>
        <v>14.5622978378417</v>
      </c>
      <c r="Z225" s="185" t="n">
        <f aca="false">Z$3*$E225</f>
        <v>14.6973893830564</v>
      </c>
      <c r="AA225" s="185" t="n">
        <f aca="false">AA$3*$E225</f>
        <v>14.7818588461027</v>
      </c>
      <c r="AB225" s="185" t="n">
        <f aca="false">AB$3*$E225</f>
        <v>14.834059381861</v>
      </c>
      <c r="AC225" s="185" t="n">
        <f aca="false">AC$3*$E225</f>
        <v>14.8660847178067</v>
      </c>
      <c r="AD225" s="219" t="n">
        <f aca="false">Algae_electricity_factor/H225</f>
        <v>0.00184279928982693</v>
      </c>
      <c r="AE225" s="220" t="n">
        <f aca="false">Algae_electricity_factor/I225</f>
        <v>0.00184279928982693</v>
      </c>
      <c r="AF225" s="220" t="n">
        <f aca="false">Algae_electricity_factor/J225</f>
        <v>0.00184279928982693</v>
      </c>
      <c r="AG225" s="220" t="n">
        <f aca="false">Algae_electricity_factor/K225</f>
        <v>0.00184279928982693</v>
      </c>
      <c r="AH225" s="220" t="n">
        <f aca="false">Algae_electricity_factor/L225</f>
        <v>0.00184279928982693</v>
      </c>
      <c r="AI225" s="220" t="n">
        <f aca="false">Algae_electricity_factor/M225</f>
        <v>0.00175936010081214</v>
      </c>
      <c r="AJ225" s="220" t="n">
        <f aca="false">Algae_electricity_factor/N225</f>
        <v>0.00171286450579438</v>
      </c>
      <c r="AK225" s="220" t="n">
        <f aca="false">Algae_electricity_factor/O225</f>
        <v>0.00164652830471302</v>
      </c>
      <c r="AL225" s="220" t="n">
        <f aca="false">Algae_electricity_factor/P225</f>
        <v>0.00155849079094196</v>
      </c>
      <c r="AM225" s="220" t="n">
        <f aca="false">Algae_electricity_factor/Q225</f>
        <v>0.00145223353796535</v>
      </c>
      <c r="AN225" s="220" t="n">
        <f aca="false">Algae_electricity_factor/R225</f>
        <v>0.00133774583325711</v>
      </c>
      <c r="AO225" s="220" t="n">
        <f aca="false">Algae_electricity_factor/S225</f>
        <v>0.00122853285988462</v>
      </c>
      <c r="AP225" s="220" t="n">
        <f aca="false">Algae_electricity_factor/T225</f>
        <v>0.00113580615204811</v>
      </c>
      <c r="AQ225" s="220" t="n">
        <f aca="false">Algae_electricity_factor/U225</f>
        <v>0.00106455050832847</v>
      </c>
      <c r="AR225" s="220" t="n">
        <f aca="false">Algae_electricity_factor/V225</f>
        <v>0.00101387828337363</v>
      </c>
      <c r="AS225" s="220" t="n">
        <f aca="false">Algae_electricity_factor/W225</f>
        <v>0.00097979697618852</v>
      </c>
      <c r="AT225" s="220" t="n">
        <f aca="false">Algae_electricity_factor/X225</f>
        <v>0.000957725293786961</v>
      </c>
      <c r="AU225" s="220" t="n">
        <f aca="false">Algae_electricity_factor/Y225</f>
        <v>0.000943779426610478</v>
      </c>
      <c r="AV225" s="220" t="n">
        <f aca="false">Algae_electricity_factor/Z225</f>
        <v>0.000935104646500916</v>
      </c>
      <c r="AW225" s="220" t="n">
        <f aca="false">Algae_electricity_factor/AA225</f>
        <v>0.000929761083948708</v>
      </c>
      <c r="AX225" s="220" t="n">
        <f aca="false">Algae_electricity_factor/AB225</f>
        <v>0.000926489287236831</v>
      </c>
      <c r="AY225" s="220" t="n">
        <f aca="false">Algae_electricity_factor/AC225</f>
        <v>0.000924493393143865</v>
      </c>
      <c r="AZ225" s="211" t="n">
        <f aca="false">Algae_yield_cost_factor/H225</f>
        <v>0.102016977646315</v>
      </c>
      <c r="BA225" s="18" t="n">
        <f aca="false">Algae_yield_cost_factor/I225</f>
        <v>0.102016977646315</v>
      </c>
      <c r="BB225" s="18" t="n">
        <f aca="false">Algae_yield_cost_factor/J225</f>
        <v>0.102016977646315</v>
      </c>
      <c r="BC225" s="18" t="n">
        <f aca="false">Algae_yield_cost_factor/K225</f>
        <v>0.102016977646315</v>
      </c>
      <c r="BD225" s="18" t="n">
        <f aca="false">Algae_yield_cost_factor/L225</f>
        <v>0.102016977646315</v>
      </c>
      <c r="BE225" s="18" t="n">
        <f aca="false">Algae_yield_cost_factor/M225</f>
        <v>0.0973978018480936</v>
      </c>
      <c r="BF225" s="18" t="n">
        <f aca="false">Algae_yield_cost_factor/N225</f>
        <v>0.0948238155741872</v>
      </c>
      <c r="BG225" s="18" t="n">
        <f aca="false">Algae_yield_cost_factor/O225</f>
        <v>0.0911514575587384</v>
      </c>
      <c r="BH225" s="18" t="n">
        <f aca="false">Algae_yield_cost_factor/P225</f>
        <v>0.0862777194777658</v>
      </c>
      <c r="BI225" s="18" t="n">
        <f aca="false">Algae_yield_cost_factor/Q225</f>
        <v>0.0803953405005677</v>
      </c>
      <c r="BJ225" s="18" t="n">
        <f aca="false">Algae_yield_cost_factor/R225</f>
        <v>0.0740573254619925</v>
      </c>
      <c r="BK225" s="18" t="n">
        <f aca="false">Algae_yield_cost_factor/S225</f>
        <v>0.0680113184308767</v>
      </c>
      <c r="BL225" s="18" t="n">
        <f aca="false">Algae_yield_cost_factor/T225</f>
        <v>0.0628779875614786</v>
      </c>
      <c r="BM225" s="18" t="n">
        <f aca="false">Algae_yield_cost_factor/U225</f>
        <v>0.0589332902454713</v>
      </c>
      <c r="BN225" s="18" t="n">
        <f aca="false">Algae_yield_cost_factor/V225</f>
        <v>0.0561280866245209</v>
      </c>
      <c r="BO225" s="18" t="n">
        <f aca="false">Algae_yield_cost_factor/W225</f>
        <v>0.0542413526907419</v>
      </c>
      <c r="BP225" s="18" t="n">
        <f aca="false">Algae_yield_cost_factor/X225</f>
        <v>0.0530194690365606</v>
      </c>
      <c r="BQ225" s="18" t="n">
        <f aca="false">Algae_yield_cost_factor/Y225</f>
        <v>0.052247428788957</v>
      </c>
      <c r="BR225" s="18" t="n">
        <f aca="false">Algae_yield_cost_factor/Z225</f>
        <v>0.0517671948028635</v>
      </c>
      <c r="BS225" s="18" t="n">
        <f aca="false">Algae_yield_cost_factor/AA225</f>
        <v>0.051471376313867</v>
      </c>
      <c r="BT225" s="18" t="n">
        <f aca="false">Algae_yield_cost_factor/AB225</f>
        <v>0.0512902503421666</v>
      </c>
      <c r="BU225" s="18" t="n">
        <f aca="false">Algae_yield_cost_factor/AC225</f>
        <v>0.0511797580687049</v>
      </c>
    </row>
    <row r="226" customFormat="false" ht="15" hidden="false" customHeight="false" outlineLevel="0" collapsed="false">
      <c r="A226" s="18" t="s">
        <v>704</v>
      </c>
      <c r="B226" s="18" t="s">
        <v>22</v>
      </c>
      <c r="C226" s="18" t="s">
        <v>687</v>
      </c>
      <c r="D226" s="18" t="s">
        <v>687</v>
      </c>
      <c r="E226" s="185" t="n">
        <v>8.95125</v>
      </c>
      <c r="F226" s="18" t="n">
        <f aca="false">E226/$B$2*$F$3/1000</f>
        <v>0.0219305625</v>
      </c>
      <c r="G226" s="18" t="n">
        <f aca="false">LOOKUP(RIGHT(D226,5),Ref!$C$4:$C$21,Ref!$E$4:$E$21)*$G$3</f>
        <v>4.5</v>
      </c>
      <c r="H226" s="222" t="n">
        <f aca="false">$E226</f>
        <v>8.95125</v>
      </c>
      <c r="I226" s="185" t="n">
        <f aca="false">$E226</f>
        <v>8.95125</v>
      </c>
      <c r="J226" s="185" t="n">
        <f aca="false">$E226</f>
        <v>8.95125</v>
      </c>
      <c r="K226" s="185" t="n">
        <f aca="false">$E226</f>
        <v>8.95125</v>
      </c>
      <c r="L226" s="185" t="n">
        <f aca="false">$E226</f>
        <v>8.95125</v>
      </c>
      <c r="M226" s="185" t="n">
        <f aca="false">M$3*$E226</f>
        <v>9.37577084728069</v>
      </c>
      <c r="N226" s="185" t="n">
        <f aca="false">N$3*$E226</f>
        <v>9.63027553391516</v>
      </c>
      <c r="O226" s="185" t="n">
        <f aca="false">O$3*$E226</f>
        <v>10.0182651557505</v>
      </c>
      <c r="P226" s="185" t="n">
        <f aca="false">P$3*$E226</f>
        <v>10.5841864699716</v>
      </c>
      <c r="Q226" s="185" t="n">
        <f aca="false">Q$3*$E226</f>
        <v>11.3586118980382</v>
      </c>
      <c r="R226" s="185" t="n">
        <f aca="false">R$3*$E226</f>
        <v>12.3307109115794</v>
      </c>
      <c r="S226" s="185" t="n">
        <f aca="false">S$3*$E226</f>
        <v>13.426875</v>
      </c>
      <c r="T226" s="185" t="n">
        <f aca="false">T$3*$E226</f>
        <v>14.5230390884206</v>
      </c>
      <c r="U226" s="185" t="n">
        <f aca="false">U$3*$E226</f>
        <v>15.4951381019618</v>
      </c>
      <c r="V226" s="185" t="n">
        <f aca="false">V$3*$E226</f>
        <v>16.2695635300284</v>
      </c>
      <c r="W226" s="185" t="n">
        <f aca="false">W$3*$E226</f>
        <v>16.8354848442495</v>
      </c>
      <c r="X226" s="185" t="n">
        <f aca="false">X$3*$E226</f>
        <v>17.2234744660848</v>
      </c>
      <c r="Y226" s="185" t="n">
        <f aca="false">Y$3*$E226</f>
        <v>17.4779791527193</v>
      </c>
      <c r="Z226" s="185" t="n">
        <f aca="false">Z$3*$E226</f>
        <v>17.6401188944869</v>
      </c>
      <c r="AA226" s="185" t="n">
        <f aca="false">AA$3*$E226</f>
        <v>17.7415009380768</v>
      </c>
      <c r="AB226" s="185" t="n">
        <f aca="false">AB$3*$E226</f>
        <v>17.8041531297779</v>
      </c>
      <c r="AC226" s="185" t="n">
        <f aca="false">AC$3*$E226</f>
        <v>17.842590618164</v>
      </c>
      <c r="AD226" s="219" t="n">
        <f aca="false">Algae_electricity_factor/H226</f>
        <v>0.00153538300276825</v>
      </c>
      <c r="AE226" s="220" t="n">
        <f aca="false">Algae_electricity_factor/I226</f>
        <v>0.00153538300276825</v>
      </c>
      <c r="AF226" s="220" t="n">
        <f aca="false">Algae_electricity_factor/J226</f>
        <v>0.00153538300276825</v>
      </c>
      <c r="AG226" s="220" t="n">
        <f aca="false">Algae_electricity_factor/K226</f>
        <v>0.00153538300276825</v>
      </c>
      <c r="AH226" s="220" t="n">
        <f aca="false">Algae_electricity_factor/L226</f>
        <v>0.00153538300276825</v>
      </c>
      <c r="AI226" s="220" t="n">
        <f aca="false">Algae_electricity_factor/M226</f>
        <v>0.00146586316233565</v>
      </c>
      <c r="AJ226" s="220" t="n">
        <f aca="false">Algae_electricity_factor/N226</f>
        <v>0.00142712397533468</v>
      </c>
      <c r="AK226" s="220" t="n">
        <f aca="false">Algae_electricity_factor/O226</f>
        <v>0.00137185399765951</v>
      </c>
      <c r="AL226" s="220" t="n">
        <f aca="false">Algae_electricity_factor/P226</f>
        <v>0.00129850292627791</v>
      </c>
      <c r="AM226" s="220" t="n">
        <f aca="false">Algae_electricity_factor/Q226</f>
        <v>0.00120997153762275</v>
      </c>
      <c r="AN226" s="220" t="n">
        <f aca="false">Algae_electricity_factor/R226</f>
        <v>0.00111458270346952</v>
      </c>
      <c r="AO226" s="220" t="n">
        <f aca="false">Algae_electricity_factor/S226</f>
        <v>0.00102358866851216</v>
      </c>
      <c r="AP226" s="220" t="n">
        <f aca="false">Algae_electricity_factor/T226</f>
        <v>0.000946330655715662</v>
      </c>
      <c r="AQ226" s="220" t="n">
        <f aca="false">Algae_electricity_factor/U226</f>
        <v>0.000886961898183353</v>
      </c>
      <c r="AR226" s="220" t="n">
        <f aca="false">Algae_electricity_factor/V226</f>
        <v>0.00084474282780623</v>
      </c>
      <c r="AS226" s="220" t="n">
        <f aca="false">Algae_electricity_factor/W226</f>
        <v>0.000816346973709144</v>
      </c>
      <c r="AT226" s="220" t="n">
        <f aca="false">Algae_electricity_factor/X226</f>
        <v>0.000797957295468583</v>
      </c>
      <c r="AU226" s="220" t="n">
        <f aca="false">Algae_electricity_factor/Y226</f>
        <v>0.000786337881710482</v>
      </c>
      <c r="AV226" s="220" t="n">
        <f aca="false">Algae_electricity_factor/Z226</f>
        <v>0.000779110230817353</v>
      </c>
      <c r="AW226" s="220" t="n">
        <f aca="false">Algae_electricity_factor/AA226</f>
        <v>0.000774658082847587</v>
      </c>
      <c r="AX226" s="220" t="n">
        <f aca="false">Algae_electricity_factor/AB226</f>
        <v>0.00077193208816783</v>
      </c>
      <c r="AY226" s="220" t="n">
        <f aca="false">Algae_electricity_factor/AC226</f>
        <v>0.000770269149679312</v>
      </c>
      <c r="AZ226" s="211" t="n">
        <f aca="false">Algae_yield_cost_factor/H226</f>
        <v>0.0849984772278975</v>
      </c>
      <c r="BA226" s="18" t="n">
        <f aca="false">Algae_yield_cost_factor/I226</f>
        <v>0.0849984772278975</v>
      </c>
      <c r="BB226" s="18" t="n">
        <f aca="false">Algae_yield_cost_factor/J226</f>
        <v>0.0849984772278975</v>
      </c>
      <c r="BC226" s="18" t="n">
        <f aca="false">Algae_yield_cost_factor/K226</f>
        <v>0.0849984772278975</v>
      </c>
      <c r="BD226" s="18" t="n">
        <f aca="false">Algae_yield_cost_factor/L226</f>
        <v>0.0849984772278975</v>
      </c>
      <c r="BE226" s="18" t="n">
        <f aca="false">Algae_yield_cost_factor/M226</f>
        <v>0.0811498736135268</v>
      </c>
      <c r="BF226" s="18" t="n">
        <f aca="false">Algae_yield_cost_factor/N226</f>
        <v>0.0790052804415348</v>
      </c>
      <c r="BG226" s="18" t="n">
        <f aca="false">Algae_yield_cost_factor/O226</f>
        <v>0.0759455462056217</v>
      </c>
      <c r="BH226" s="18" t="n">
        <f aca="false">Algae_yield_cost_factor/P226</f>
        <v>0.0718848464588943</v>
      </c>
      <c r="BI226" s="18" t="n">
        <f aca="false">Algae_yield_cost_factor/Q226</f>
        <v>0.0669837675691366</v>
      </c>
      <c r="BJ226" s="18" t="n">
        <f aca="false">Algae_yield_cost_factor/R226</f>
        <v>0.061703061951743</v>
      </c>
      <c r="BK226" s="18" t="n">
        <f aca="false">Algae_yield_cost_factor/S226</f>
        <v>0.056665651485265</v>
      </c>
      <c r="BL226" s="18" t="n">
        <f aca="false">Algae_yield_cost_factor/T226</f>
        <v>0.052388664290854</v>
      </c>
      <c r="BM226" s="18" t="n">
        <f aca="false">Algae_yield_cost_factor/U226</f>
        <v>0.0491020224718028</v>
      </c>
      <c r="BN226" s="18" t="n">
        <f aca="false">Algae_yield_cost_factor/V226</f>
        <v>0.0467647836945317</v>
      </c>
      <c r="BO226" s="18" t="n">
        <f aca="false">Algae_yield_cost_factor/W226</f>
        <v>0.0451927952372633</v>
      </c>
      <c r="BP226" s="18" t="n">
        <f aca="false">Algae_yield_cost_factor/X226</f>
        <v>0.0441747465521206</v>
      </c>
      <c r="BQ226" s="18" t="n">
        <f aca="false">Algae_yield_cost_factor/Y226</f>
        <v>0.0435314982720896</v>
      </c>
      <c r="BR226" s="18" t="n">
        <f aca="false">Algae_yield_cost_factor/Z226</f>
        <v>0.0431313770523397</v>
      </c>
      <c r="BS226" s="18" t="n">
        <f aca="false">Algae_yield_cost_factor/AA226</f>
        <v>0.0428849070854708</v>
      </c>
      <c r="BT226" s="18" t="n">
        <f aca="false">Algae_yield_cost_factor/AB226</f>
        <v>0.0427339965984503</v>
      </c>
      <c r="BU226" s="18" t="n">
        <f aca="false">Algae_yield_cost_factor/AC226</f>
        <v>0.0426419366765984</v>
      </c>
    </row>
    <row r="227" customFormat="false" ht="15" hidden="false" customHeight="false" outlineLevel="0" collapsed="false">
      <c r="A227" s="18" t="s">
        <v>704</v>
      </c>
      <c r="B227" s="18" t="s">
        <v>22</v>
      </c>
      <c r="C227" s="18" t="s">
        <v>688</v>
      </c>
      <c r="D227" s="18" t="s">
        <v>688</v>
      </c>
      <c r="E227" s="185" t="n">
        <v>7.76325</v>
      </c>
      <c r="F227" s="18" t="n">
        <f aca="false">E227/$B$2*$F$3/1000</f>
        <v>0.0190199625</v>
      </c>
      <c r="G227" s="18" t="n">
        <f aca="false">LOOKUP(RIGHT(D227,5),Ref!$C$4:$C$21,Ref!$E$4:$E$21)*$G$3</f>
        <v>4.5</v>
      </c>
      <c r="H227" s="222" t="n">
        <f aca="false">$E227</f>
        <v>7.76325</v>
      </c>
      <c r="I227" s="185" t="n">
        <f aca="false">$E227</f>
        <v>7.76325</v>
      </c>
      <c r="J227" s="185" t="n">
        <f aca="false">$E227</f>
        <v>7.76325</v>
      </c>
      <c r="K227" s="185" t="n">
        <f aca="false">$E227</f>
        <v>7.76325</v>
      </c>
      <c r="L227" s="185" t="n">
        <f aca="false">$E227</f>
        <v>7.76325</v>
      </c>
      <c r="M227" s="185" t="n">
        <f aca="false">M$3*$E227</f>
        <v>8.13142890994575</v>
      </c>
      <c r="N227" s="185" t="n">
        <f aca="false">N$3*$E227</f>
        <v>8.35215601604992</v>
      </c>
      <c r="O227" s="185" t="n">
        <f aca="false">O$3*$E227</f>
        <v>8.6886520843882</v>
      </c>
      <c r="P227" s="185" t="n">
        <f aca="false">P$3*$E227</f>
        <v>9.1794649476897</v>
      </c>
      <c r="Q227" s="185" t="n">
        <f aca="false">Q$3*$E227</f>
        <v>9.85110948945061</v>
      </c>
      <c r="R227" s="185" t="n">
        <f aca="false">R$3*$E227</f>
        <v>10.6941925970472</v>
      </c>
      <c r="S227" s="185" t="n">
        <f aca="false">S$3*$E227</f>
        <v>11.644875</v>
      </c>
      <c r="T227" s="185" t="n">
        <f aca="false">T$3*$E227</f>
        <v>12.5955574029528</v>
      </c>
      <c r="U227" s="185" t="n">
        <f aca="false">U$3*$E227</f>
        <v>13.4386405105494</v>
      </c>
      <c r="V227" s="185" t="n">
        <f aca="false">V$3*$E227</f>
        <v>14.1102850523103</v>
      </c>
      <c r="W227" s="185" t="n">
        <f aca="false">W$3*$E227</f>
        <v>14.6010979156118</v>
      </c>
      <c r="X227" s="185" t="n">
        <f aca="false">X$3*$E227</f>
        <v>14.9375939839501</v>
      </c>
      <c r="Y227" s="185" t="n">
        <f aca="false">Y$3*$E227</f>
        <v>15.1583210900543</v>
      </c>
      <c r="Z227" s="185" t="n">
        <f aca="false">Z$3*$E227</f>
        <v>15.2989418246195</v>
      </c>
      <c r="AA227" s="185" t="n">
        <f aca="false">AA$3*$E227</f>
        <v>15.3868685555118</v>
      </c>
      <c r="AB227" s="185" t="n">
        <f aca="false">AB$3*$E227</f>
        <v>15.441205617623</v>
      </c>
      <c r="AC227" s="185" t="n">
        <f aca="false">AC$3*$E227</f>
        <v>15.474541725062</v>
      </c>
      <c r="AD227" s="219" t="n">
        <f aca="false">Algae_electricity_factor/H227</f>
        <v>0.00177034065675191</v>
      </c>
      <c r="AE227" s="220" t="n">
        <f aca="false">Algae_electricity_factor/I227</f>
        <v>0.00177034065675191</v>
      </c>
      <c r="AF227" s="220" t="n">
        <f aca="false">Algae_electricity_factor/J227</f>
        <v>0.00177034065675191</v>
      </c>
      <c r="AG227" s="220" t="n">
        <f aca="false">Algae_electricity_factor/K227</f>
        <v>0.00177034065675191</v>
      </c>
      <c r="AH227" s="220" t="n">
        <f aca="false">Algae_electricity_factor/L227</f>
        <v>0.00177034065675191</v>
      </c>
      <c r="AI227" s="220" t="n">
        <f aca="false">Algae_electricity_factor/M227</f>
        <v>0.00169018228600869</v>
      </c>
      <c r="AJ227" s="220" t="n">
        <f aca="false">Algae_electricity_factor/N227</f>
        <v>0.00164551489185773</v>
      </c>
      <c r="AK227" s="220" t="n">
        <f aca="false">Algae_electricity_factor/O227</f>
        <v>0.00158178702174343</v>
      </c>
      <c r="AL227" s="220" t="n">
        <f aca="false">Algae_electricity_factor/P227</f>
        <v>0.00149721113178696</v>
      </c>
      <c r="AM227" s="220" t="n">
        <f aca="false">Algae_electricity_factor/Q227</f>
        <v>0.00139513190044706</v>
      </c>
      <c r="AN227" s="220" t="n">
        <f aca="false">Algae_electricity_factor/R227</f>
        <v>0.00128514583768802</v>
      </c>
      <c r="AO227" s="220" t="n">
        <f aca="false">Algae_electricity_factor/S227</f>
        <v>0.00118022710450127</v>
      </c>
      <c r="AP227" s="220" t="n">
        <f aca="false">Algae_electricity_factor/T227</f>
        <v>0.00109114639899202</v>
      </c>
      <c r="AQ227" s="220" t="n">
        <f aca="false">Algae_electricity_factor/U227</f>
        <v>0.00102269251809664</v>
      </c>
      <c r="AR227" s="220" t="n">
        <f aca="false">Algae_electricity_factor/V227</f>
        <v>0.000974012718565101</v>
      </c>
      <c r="AS227" s="220" t="n">
        <f aca="false">Algae_electricity_factor/W227</f>
        <v>0.000941271484032329</v>
      </c>
      <c r="AT227" s="220" t="n">
        <f aca="false">Algae_electricity_factor/X227</f>
        <v>0.000920067657368132</v>
      </c>
      <c r="AU227" s="220" t="n">
        <f aca="false">Algae_electricity_factor/Y227</f>
        <v>0.000906670139910598</v>
      </c>
      <c r="AV227" s="220" t="n">
        <f aca="false">Algae_electricity_factor/Z227</f>
        <v>0.000898336451048702</v>
      </c>
      <c r="AW227" s="220" t="n">
        <f aca="false">Algae_electricity_factor/AA227</f>
        <v>0.000893202996694614</v>
      </c>
      <c r="AX227" s="220" t="n">
        <f aca="false">Algae_electricity_factor/AB227</f>
        <v>0.000890059846612216</v>
      </c>
      <c r="AY227" s="220" t="n">
        <f aca="false">Algae_electricity_factor/AC227</f>
        <v>0.000888142430820461</v>
      </c>
      <c r="AZ227" s="211" t="n">
        <f aca="false">Algae_yield_cost_factor/H227</f>
        <v>0.0980056830948659</v>
      </c>
      <c r="BA227" s="18" t="n">
        <f aca="false">Algae_yield_cost_factor/I227</f>
        <v>0.0980056830948659</v>
      </c>
      <c r="BB227" s="18" t="n">
        <f aca="false">Algae_yield_cost_factor/J227</f>
        <v>0.0980056830948659</v>
      </c>
      <c r="BC227" s="18" t="n">
        <f aca="false">Algae_yield_cost_factor/K227</f>
        <v>0.0980056830948659</v>
      </c>
      <c r="BD227" s="18" t="n">
        <f aca="false">Algae_yield_cost_factor/L227</f>
        <v>0.0980056830948659</v>
      </c>
      <c r="BE227" s="18" t="n">
        <f aca="false">Algae_yield_cost_factor/M227</f>
        <v>0.0935681326999752</v>
      </c>
      <c r="BF227" s="18" t="n">
        <f aca="false">Algae_yield_cost_factor/N227</f>
        <v>0.091095355238114</v>
      </c>
      <c r="BG227" s="18" t="n">
        <f aca="false">Algae_yield_cost_factor/O227</f>
        <v>0.0875673938715192</v>
      </c>
      <c r="BH227" s="18" t="n">
        <f aca="false">Algae_yield_cost_factor/P227</f>
        <v>0.0828852905503722</v>
      </c>
      <c r="BI227" s="18" t="n">
        <f aca="false">Algae_yield_cost_factor/Q227</f>
        <v>0.0772342059644136</v>
      </c>
      <c r="BJ227" s="18" t="n">
        <f aca="false">Algae_yield_cost_factor/R227</f>
        <v>0.0711454008689067</v>
      </c>
      <c r="BK227" s="18" t="n">
        <f aca="false">Algae_yield_cost_factor/S227</f>
        <v>0.0653371220632439</v>
      </c>
      <c r="BL227" s="18" t="n">
        <f aca="false">Algae_yield_cost_factor/T227</f>
        <v>0.0604056331090081</v>
      </c>
      <c r="BM227" s="18" t="n">
        <f aca="false">Algae_yield_cost_factor/U227</f>
        <v>0.056616040788423</v>
      </c>
      <c r="BN227" s="18" t="n">
        <f aca="false">Algae_yield_cost_factor/V227</f>
        <v>0.0539211374161179</v>
      </c>
      <c r="BO227" s="18" t="n">
        <f aca="false">Algae_yield_cost_factor/W227</f>
        <v>0.0521085896200113</v>
      </c>
      <c r="BP227" s="18" t="n">
        <f aca="false">Algae_yield_cost_factor/X227</f>
        <v>0.0509347502752931</v>
      </c>
      <c r="BQ227" s="18" t="n">
        <f aca="false">Algae_yield_cost_factor/Y227</f>
        <v>0.0501930665517717</v>
      </c>
      <c r="BR227" s="18" t="n">
        <f aca="false">Algae_yield_cost_factor/Z227</f>
        <v>0.04973171530477</v>
      </c>
      <c r="BS227" s="18" t="n">
        <f aca="false">Algae_yield_cost_factor/AA227</f>
        <v>0.049447528361037</v>
      </c>
      <c r="BT227" s="18" t="n">
        <f aca="false">Algae_yield_cost_factor/AB227</f>
        <v>0.0492735242394459</v>
      </c>
      <c r="BU227" s="18" t="n">
        <f aca="false">Algae_yield_cost_factor/AC227</f>
        <v>0.0491673765080864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57:AC68 A1"/>
    </sheetView>
  </sheetViews>
  <sheetFormatPr defaultRowHeight="15"/>
  <cols>
    <col collapsed="false" hidden="false" max="1025" min="1" style="18" width="8.63775510204082"/>
  </cols>
  <sheetData>
    <row r="1" customFormat="false" ht="15" hidden="false" customHeight="false" outlineLevel="0" collapsed="false">
      <c r="B1" s="213" t="s">
        <v>747</v>
      </c>
      <c r="C1" s="18" t="s">
        <v>748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R1" s="0"/>
      <c r="S1" s="0"/>
      <c r="T1" s="0"/>
      <c r="U1" s="0"/>
      <c r="V1" s="0"/>
      <c r="W1" s="0"/>
      <c r="X1" s="0"/>
      <c r="Y1" s="0"/>
      <c r="Z1" s="0"/>
    </row>
    <row r="2" customFormat="false" ht="15" hidden="false" customHeight="false" outlineLevel="0" collapsed="false">
      <c r="B2" s="213" t="s">
        <v>749</v>
      </c>
      <c r="C2" s="18" t="s">
        <v>750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R2" s="0"/>
      <c r="S2" s="0"/>
      <c r="T2" s="0"/>
      <c r="U2" s="0"/>
      <c r="V2" s="0"/>
      <c r="W2" s="0"/>
      <c r="X2" s="0"/>
      <c r="Y2" s="0"/>
      <c r="Z2" s="0"/>
    </row>
    <row r="3" customFormat="false" ht="15" hidden="false" customHeight="false" outlineLevel="0" collapsed="false">
      <c r="B3" s="213" t="s">
        <v>751</v>
      </c>
      <c r="C3" s="18" t="s">
        <v>752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R3" s="0"/>
      <c r="S3" s="0"/>
      <c r="T3" s="0"/>
      <c r="U3" s="0"/>
      <c r="V3" s="0"/>
      <c r="W3" s="0"/>
      <c r="X3" s="0"/>
      <c r="Y3" s="0"/>
      <c r="Z3" s="0"/>
    </row>
    <row r="4" customFormat="false" ht="1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R4" s="0"/>
      <c r="S4" s="0"/>
      <c r="T4" s="0"/>
      <c r="U4" s="0"/>
      <c r="V4" s="0"/>
      <c r="W4" s="0"/>
      <c r="X4" s="0"/>
      <c r="Y4" s="0"/>
      <c r="Z4" s="0"/>
    </row>
    <row r="5" customFormat="false" ht="15" hidden="false" customHeight="false" outlineLevel="0" collapsed="false">
      <c r="B5" s="186"/>
      <c r="C5" s="188" t="s">
        <v>753</v>
      </c>
      <c r="D5" s="188" t="s">
        <v>754</v>
      </c>
      <c r="E5" s="188" t="s">
        <v>755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R5" s="0"/>
      <c r="S5" s="0"/>
      <c r="T5" s="0"/>
      <c r="U5" s="0"/>
      <c r="V5" s="0"/>
      <c r="W5" s="0"/>
      <c r="X5" s="0"/>
      <c r="Y5" s="0"/>
      <c r="Z5" s="0"/>
    </row>
    <row r="6" customFormat="false" ht="15" hidden="false" customHeight="false" outlineLevel="0" collapsed="false">
      <c r="B6" s="223" t="s">
        <v>756</v>
      </c>
      <c r="C6" s="205" t="e">
        <f aca="false">#REF!*1000000</f>
        <v>#REF!</v>
      </c>
      <c r="D6" s="205" t="e">
        <f aca="false">#REF!*1000000</f>
        <v>#REF!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R6" s="0"/>
      <c r="S6" s="0"/>
      <c r="T6" s="0"/>
      <c r="U6" s="0"/>
      <c r="V6" s="0"/>
      <c r="W6" s="0"/>
      <c r="X6" s="0"/>
      <c r="Y6" s="0"/>
      <c r="Z6" s="0"/>
    </row>
    <row r="7" customFormat="false" ht="15" hidden="false" customHeight="false" outlineLevel="0" collapsed="false">
      <c r="B7" s="18" t="s">
        <v>757</v>
      </c>
      <c r="C7" s="177" t="e">
        <f aca="false">C6/330</f>
        <v>#REF!</v>
      </c>
      <c r="D7" s="177" t="e">
        <f aca="false">D6/330</f>
        <v>#REF!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R7" s="0"/>
      <c r="S7" s="0"/>
      <c r="T7" s="0"/>
      <c r="U7" s="0"/>
      <c r="V7" s="0"/>
      <c r="W7" s="0"/>
      <c r="X7" s="0"/>
      <c r="Y7" s="0"/>
      <c r="Z7" s="0"/>
    </row>
    <row r="8" customFormat="false" ht="15" hidden="false" customHeight="false" outlineLevel="0" collapsed="false">
      <c r="B8" s="223" t="s">
        <v>758</v>
      </c>
      <c r="C8" s="223"/>
      <c r="D8" s="223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R8" s="0"/>
      <c r="S8" s="0"/>
      <c r="T8" s="0"/>
      <c r="U8" s="0"/>
      <c r="V8" s="0"/>
      <c r="W8" s="0"/>
      <c r="X8" s="0"/>
      <c r="Y8" s="0"/>
      <c r="Z8" s="0"/>
    </row>
    <row r="9" customFormat="false" ht="15" hidden="false" customHeight="false" outlineLevel="0" collapsed="false">
      <c r="B9" s="224" t="s">
        <v>759</v>
      </c>
      <c r="C9" s="225" t="n">
        <v>50919279.7032511</v>
      </c>
      <c r="D9" s="225" t="n">
        <v>390100000</v>
      </c>
      <c r="E9" s="18" t="s">
        <v>760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R9" s="0"/>
      <c r="S9" s="0"/>
      <c r="T9" s="0"/>
      <c r="U9" s="0"/>
      <c r="V9" s="0"/>
      <c r="W9" s="0"/>
      <c r="X9" s="0"/>
      <c r="Y9" s="0"/>
      <c r="Z9" s="0"/>
    </row>
    <row r="10" customFormat="false" ht="15" hidden="false" customHeight="false" outlineLevel="0" collapsed="false">
      <c r="B10" s="224" t="s">
        <v>761</v>
      </c>
      <c r="C10" s="225" t="n">
        <v>10876309.192</v>
      </c>
      <c r="D10" s="225" t="n">
        <f aca="false">13*10000*0.9*2023</f>
        <v>236691000</v>
      </c>
      <c r="E10" s="18" t="s">
        <v>762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R10" s="0"/>
      <c r="S10" s="0"/>
      <c r="T10" s="0"/>
      <c r="U10" s="0"/>
      <c r="V10" s="0"/>
      <c r="W10" s="0"/>
      <c r="X10" s="0"/>
      <c r="Y10" s="0"/>
      <c r="Z10" s="0"/>
    </row>
    <row r="11" customFormat="false" ht="15" hidden="false" customHeight="false" outlineLevel="0" collapsed="false">
      <c r="B11" s="224" t="s">
        <v>748</v>
      </c>
      <c r="C11" s="225" t="n">
        <v>1360950</v>
      </c>
      <c r="D11" s="225" t="n">
        <f aca="false">1197636 * 25.8</f>
        <v>30899008.8</v>
      </c>
      <c r="E11" s="18" t="s">
        <v>763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R11" s="0"/>
      <c r="S11" s="0"/>
      <c r="T11" s="0"/>
      <c r="U11" s="0"/>
      <c r="V11" s="0"/>
      <c r="W11" s="0"/>
      <c r="X11" s="0"/>
      <c r="Y11" s="0"/>
      <c r="Z11" s="0"/>
    </row>
    <row r="12" customFormat="false" ht="15" hidden="false" customHeight="false" outlineLevel="0" collapsed="false">
      <c r="B12" s="224" t="s">
        <v>764</v>
      </c>
      <c r="C12" s="225" t="n">
        <v>10672428.2614925</v>
      </c>
      <c r="D12" s="225" t="n">
        <v>93525453</v>
      </c>
      <c r="E12" s="18" t="s">
        <v>765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R12" s="0"/>
      <c r="S12" s="0"/>
      <c r="T12" s="0"/>
      <c r="U12" s="0"/>
      <c r="V12" s="0"/>
      <c r="W12" s="0"/>
      <c r="X12" s="0"/>
      <c r="Y12" s="0"/>
      <c r="Z12" s="0"/>
    </row>
    <row r="13" customFormat="false" ht="15" hidden="false" customHeight="false" outlineLevel="0" collapsed="false">
      <c r="B13" s="224" t="s">
        <v>766</v>
      </c>
      <c r="C13" s="225" t="e">
        <f aca="false">506.286190566643*C6</f>
        <v>#REF!</v>
      </c>
      <c r="D13" s="225" t="e">
        <f aca="false">506.286190566643*D6</f>
        <v>#REF!</v>
      </c>
      <c r="E13" s="18" t="s">
        <v>767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R13" s="0"/>
      <c r="S13" s="0"/>
      <c r="T13" s="0"/>
      <c r="U13" s="0"/>
      <c r="V13" s="0"/>
      <c r="W13" s="0"/>
      <c r="X13" s="0"/>
      <c r="Y13" s="0"/>
      <c r="Z13" s="0"/>
    </row>
    <row r="14" customFormat="false" ht="15" hidden="false" customHeight="false" outlineLevel="0" collapsed="false">
      <c r="B14" s="224" t="s">
        <v>768</v>
      </c>
      <c r="C14" s="225" t="e">
        <f aca="false">506.286190566643*C6*0.723</f>
        <v>#REF!</v>
      </c>
      <c r="D14" s="225" t="e">
        <f aca="false">506.286190566643*D6*0.723</f>
        <v>#REF!</v>
      </c>
      <c r="E14" s="18" t="s">
        <v>769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R14" s="0"/>
      <c r="S14" s="0"/>
      <c r="T14" s="0"/>
      <c r="U14" s="0"/>
      <c r="V14" s="0"/>
      <c r="W14" s="0"/>
      <c r="X14" s="0"/>
      <c r="Y14" s="0"/>
      <c r="Z14" s="0"/>
    </row>
    <row r="15" customFormat="false" ht="15" hidden="false" customHeight="false" outlineLevel="0" collapsed="false">
      <c r="B15" s="224"/>
      <c r="C15" s="225"/>
      <c r="D15" s="225"/>
      <c r="E15" s="18" t="s">
        <v>770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R15" s="0"/>
      <c r="S15" s="0"/>
      <c r="T15" s="0"/>
      <c r="U15" s="0"/>
      <c r="V15" s="0"/>
      <c r="W15" s="0"/>
      <c r="X15" s="0"/>
      <c r="Y15" s="0"/>
      <c r="Z15" s="0"/>
    </row>
    <row r="16" customFormat="false" ht="15" hidden="false" customHeight="false" outlineLevel="0" collapsed="false">
      <c r="B16" s="224"/>
      <c r="C16" s="226"/>
      <c r="D16" s="226"/>
      <c r="E16" s="18" t="s">
        <v>771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R16" s="0"/>
      <c r="S16" s="0"/>
      <c r="T16" s="0"/>
      <c r="U16" s="0"/>
      <c r="V16" s="0"/>
      <c r="W16" s="0"/>
      <c r="X16" s="0"/>
      <c r="Y16" s="0"/>
      <c r="Z16" s="0"/>
    </row>
    <row r="17" customFormat="false" ht="15" hidden="false" customHeight="false" outlineLevel="0" collapsed="false">
      <c r="B17" s="227" t="s">
        <v>12</v>
      </c>
      <c r="C17" s="228" t="e">
        <f aca="false">D17*#REF!/#REF!</f>
        <v>#REF!</v>
      </c>
      <c r="D17" s="226" t="n">
        <v>22800000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R17" s="0"/>
      <c r="S17" s="0"/>
      <c r="T17" s="0"/>
      <c r="U17" s="0"/>
      <c r="V17" s="0"/>
      <c r="W17" s="0"/>
      <c r="X17" s="0"/>
      <c r="Y17" s="0"/>
      <c r="Z17" s="0"/>
    </row>
    <row r="18" customFormat="false" ht="15" hidden="false" customHeight="false" outlineLevel="0" collapsed="false">
      <c r="B18" s="227" t="s">
        <v>772</v>
      </c>
      <c r="C18" s="229" t="n">
        <v>0.05</v>
      </c>
      <c r="D18" s="229" t="n">
        <v>0.05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R18" s="0"/>
      <c r="S18" s="0"/>
      <c r="T18" s="0"/>
      <c r="U18" s="0"/>
      <c r="V18" s="0"/>
      <c r="W18" s="0"/>
      <c r="X18" s="0"/>
      <c r="Y18" s="0"/>
      <c r="Z18" s="0"/>
    </row>
    <row r="19" customFormat="false" ht="15" hidden="false" customHeight="false" outlineLevel="0" collapsed="false">
      <c r="B19" s="224" t="s">
        <v>773</v>
      </c>
      <c r="C19" s="197" t="n">
        <v>94</v>
      </c>
      <c r="D19" s="197" t="n">
        <v>2000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R19" s="0"/>
      <c r="S19" s="0"/>
      <c r="T19" s="0"/>
      <c r="U19" s="0"/>
      <c r="V19" s="0"/>
      <c r="W19" s="0"/>
      <c r="X19" s="0"/>
      <c r="Y19" s="0"/>
      <c r="Z19" s="0"/>
    </row>
    <row r="20" customFormat="false" ht="15" hidden="false" customHeight="false" outlineLevel="0" collapsed="false">
      <c r="B20" s="224" t="s">
        <v>774</v>
      </c>
      <c r="C20" s="197" t="n">
        <v>110</v>
      </c>
      <c r="D20" s="197" t="n">
        <v>3000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R20" s="0"/>
      <c r="S20" s="0"/>
      <c r="T20" s="0"/>
      <c r="U20" s="0"/>
      <c r="V20" s="0"/>
      <c r="W20" s="0"/>
      <c r="X20" s="0"/>
      <c r="Y20" s="0"/>
      <c r="Z20" s="0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R21" s="0"/>
      <c r="S21" s="0"/>
      <c r="T21" s="0"/>
      <c r="U21" s="0"/>
      <c r="V21" s="0"/>
      <c r="W21" s="0"/>
      <c r="X21" s="0"/>
      <c r="Y21" s="0"/>
      <c r="Z21" s="0"/>
    </row>
    <row r="22" customFormat="false" ht="15" hidden="false" customHeight="false" outlineLevel="0" collapsed="false">
      <c r="B22" s="0"/>
      <c r="C22" s="0"/>
      <c r="D22" s="0"/>
      <c r="E22" s="0"/>
      <c r="F22" s="0"/>
      <c r="G22" s="0"/>
      <c r="H22" s="0"/>
      <c r="I22" s="0"/>
      <c r="J22" s="0"/>
      <c r="K22" s="230"/>
      <c r="L22" s="0"/>
      <c r="M22" s="0"/>
      <c r="N22" s="0"/>
      <c r="O22" s="0"/>
      <c r="P22" s="0"/>
      <c r="R22" s="0"/>
      <c r="S22" s="0"/>
      <c r="T22" s="0"/>
      <c r="U22" s="0"/>
      <c r="V22" s="0"/>
      <c r="W22" s="0"/>
      <c r="X22" s="0"/>
      <c r="Y22" s="0"/>
      <c r="Z22" s="0"/>
    </row>
    <row r="23" customFormat="false" ht="15" hidden="false" customHeight="false" outlineLevel="0" collapsed="false">
      <c r="B23" s="0"/>
      <c r="C23" s="0"/>
      <c r="D23" s="0"/>
      <c r="E23" s="0"/>
      <c r="F23" s="0"/>
      <c r="G23" s="0"/>
      <c r="H23" s="0"/>
      <c r="I23" s="223"/>
      <c r="J23" s="225"/>
      <c r="K23" s="225"/>
      <c r="L23" s="225"/>
      <c r="M23" s="225"/>
      <c r="N23" s="225"/>
      <c r="O23" s="225"/>
      <c r="P23" s="225"/>
      <c r="R23" s="0"/>
      <c r="S23" s="0"/>
      <c r="T23" s="0"/>
      <c r="U23" s="0"/>
      <c r="V23" s="0"/>
      <c r="W23" s="0"/>
      <c r="X23" s="0"/>
      <c r="Y23" s="0"/>
      <c r="Z23" s="0"/>
    </row>
    <row r="24" customFormat="false" ht="15" hidden="false" customHeight="false" outlineLevel="0" collapsed="false">
      <c r="B24" s="0"/>
      <c r="C24" s="0"/>
      <c r="D24" s="0"/>
      <c r="E24" s="0"/>
      <c r="F24" s="0"/>
      <c r="G24" s="0"/>
      <c r="H24" s="0"/>
      <c r="I24" s="223"/>
      <c r="J24" s="226"/>
      <c r="K24" s="226"/>
      <c r="L24" s="226"/>
      <c r="M24" s="226"/>
      <c r="N24" s="226"/>
      <c r="O24" s="226"/>
      <c r="P24" s="226"/>
      <c r="R24" s="0"/>
      <c r="S24" s="0"/>
      <c r="T24" s="0"/>
      <c r="U24" s="0"/>
      <c r="V24" s="0"/>
      <c r="W24" s="0"/>
      <c r="X24" s="0"/>
      <c r="Y24" s="0"/>
      <c r="Z24" s="0"/>
    </row>
    <row r="25" customFormat="false" ht="15" hidden="false" customHeight="false" outlineLevel="0" collapsed="false">
      <c r="B25" s="231" t="s">
        <v>775</v>
      </c>
      <c r="C25" s="188" t="s">
        <v>753</v>
      </c>
      <c r="D25" s="188" t="s">
        <v>754</v>
      </c>
      <c r="E25" s="0"/>
      <c r="F25" s="0"/>
      <c r="G25" s="0"/>
      <c r="H25" s="0"/>
      <c r="I25" s="223"/>
      <c r="J25" s="225"/>
      <c r="K25" s="225"/>
      <c r="L25" s="225"/>
      <c r="M25" s="225"/>
      <c r="N25" s="225"/>
      <c r="O25" s="225"/>
      <c r="P25" s="225"/>
      <c r="R25" s="0"/>
      <c r="S25" s="0"/>
      <c r="T25" s="0"/>
      <c r="U25" s="0"/>
      <c r="V25" s="0"/>
      <c r="W25" s="0"/>
      <c r="X25" s="0"/>
      <c r="Y25" s="0"/>
      <c r="Z25" s="0"/>
    </row>
    <row r="26" customFormat="false" ht="15" hidden="false" customHeight="false" outlineLevel="0" collapsed="false">
      <c r="B26" s="232" t="s">
        <v>759</v>
      </c>
      <c r="C26" s="226" t="e">
        <f aca="false">C9/C$6</f>
        <v>#REF!</v>
      </c>
      <c r="D26" s="226" t="e">
        <f aca="false">D9/D$6</f>
        <v>#REF!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R26" s="0"/>
      <c r="S26" s="0"/>
      <c r="T26" s="0"/>
      <c r="U26" s="0"/>
      <c r="V26" s="0"/>
      <c r="W26" s="0"/>
      <c r="X26" s="0"/>
      <c r="Y26" s="0"/>
      <c r="Z26" s="0"/>
    </row>
    <row r="27" customFormat="false" ht="15" hidden="false" customHeight="false" outlineLevel="0" collapsed="false">
      <c r="B27" s="232" t="s">
        <v>761</v>
      </c>
      <c r="C27" s="226" t="e">
        <f aca="false">C10/C$6</f>
        <v>#REF!</v>
      </c>
      <c r="D27" s="226" t="e">
        <f aca="false">D10/D$6</f>
        <v>#REF!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R27" s="0"/>
      <c r="S27" s="0"/>
      <c r="T27" s="0"/>
      <c r="U27" s="0"/>
      <c r="V27" s="0"/>
      <c r="W27" s="0"/>
      <c r="X27" s="0"/>
      <c r="Y27" s="0"/>
      <c r="Z27" s="0"/>
    </row>
    <row r="28" customFormat="false" ht="15" hidden="false" customHeight="false" outlineLevel="0" collapsed="false">
      <c r="B28" s="232" t="s">
        <v>748</v>
      </c>
      <c r="C28" s="226" t="e">
        <f aca="false">C11/C$6</f>
        <v>#REF!</v>
      </c>
      <c r="D28" s="226" t="e">
        <f aca="false">D11/D$6</f>
        <v>#REF!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5" hidden="false" customHeight="false" outlineLevel="0" collapsed="false">
      <c r="B29" s="232" t="s">
        <v>764</v>
      </c>
      <c r="C29" s="226" t="e">
        <f aca="false">C12/C$6</f>
        <v>#REF!</v>
      </c>
      <c r="D29" s="226" t="e">
        <f aca="false">D12/D$6</f>
        <v>#REF!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5" hidden="false" customHeight="false" outlineLevel="0" collapsed="false">
      <c r="B30" s="232" t="s">
        <v>766</v>
      </c>
      <c r="C30" s="226" t="e">
        <f aca="false">C13/C$6</f>
        <v>#REF!</v>
      </c>
      <c r="D30" s="226" t="e">
        <f aca="false">D13/D$6</f>
        <v>#REF!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5" hidden="false" customHeight="false" outlineLevel="0" collapsed="false">
      <c r="B31" s="232" t="s">
        <v>768</v>
      </c>
      <c r="C31" s="226" t="e">
        <f aca="false">C14/C$6</f>
        <v>#REF!</v>
      </c>
      <c r="D31" s="226" t="e">
        <f aca="false">D14/D$6</f>
        <v>#REF!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5" hidden="false" customHeight="fals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R32" s="0"/>
      <c r="S32" s="0"/>
      <c r="T32" s="0"/>
      <c r="U32" s="0"/>
      <c r="V32" s="0"/>
      <c r="W32" s="0"/>
      <c r="X32" s="0"/>
      <c r="Y32" s="0"/>
      <c r="Z32" s="0"/>
    </row>
    <row r="33" customFormat="false" ht="15" hidden="false" customHeight="fals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R33" s="0"/>
      <c r="S33" s="0"/>
      <c r="T33" s="0"/>
      <c r="U33" s="0"/>
      <c r="V33" s="0"/>
      <c r="W33" s="0"/>
      <c r="X33" s="0"/>
      <c r="Y33" s="0"/>
      <c r="Z33" s="0"/>
    </row>
    <row r="34" customFormat="false" ht="15" hidden="false" customHeight="false" outlineLevel="0" collapsed="false">
      <c r="B34" s="232" t="s">
        <v>776</v>
      </c>
      <c r="C34" s="0"/>
      <c r="D34" s="0"/>
      <c r="E34" s="0"/>
      <c r="F34" s="0"/>
      <c r="G34" s="233" t="s">
        <v>777</v>
      </c>
      <c r="H34" s="234" t="n">
        <v>1.3986013986014</v>
      </c>
      <c r="I34" s="0"/>
      <c r="J34" s="0"/>
      <c r="K34" s="0"/>
      <c r="L34" s="0"/>
      <c r="M34" s="0"/>
      <c r="N34" s="0"/>
      <c r="O34" s="0"/>
      <c r="P34" s="0"/>
      <c r="R34" s="0"/>
      <c r="S34" s="0"/>
      <c r="T34" s="0"/>
      <c r="U34" s="0"/>
      <c r="V34" s="0"/>
      <c r="W34" s="0"/>
      <c r="X34" s="0"/>
      <c r="Y34" s="0"/>
      <c r="Z34" s="0"/>
    </row>
    <row r="35" customFormat="false" ht="15" hidden="false" customHeight="false" outlineLevel="0" collapsed="false">
      <c r="B35" s="0"/>
      <c r="C35" s="0"/>
      <c r="D35" s="0"/>
      <c r="E35" s="0"/>
      <c r="F35" s="0"/>
      <c r="G35" s="213" t="s">
        <v>778</v>
      </c>
      <c r="H35" s="0"/>
      <c r="I35" s="0"/>
      <c r="J35" s="0"/>
      <c r="K35" s="235" t="s">
        <v>779</v>
      </c>
      <c r="L35" s="18" t="n">
        <v>0.723438729508197</v>
      </c>
      <c r="M35" s="0"/>
      <c r="N35" s="0"/>
      <c r="O35" s="0"/>
      <c r="P35" s="0"/>
      <c r="R35" s="0"/>
      <c r="S35" s="0"/>
      <c r="T35" s="0"/>
      <c r="U35" s="0"/>
      <c r="V35" s="0"/>
      <c r="W35" s="0"/>
      <c r="X35" s="0"/>
      <c r="Y35" s="0"/>
      <c r="Z35" s="0"/>
    </row>
    <row r="36" customFormat="false" ht="15" hidden="false" customHeight="false" outlineLevel="0" collapsed="false">
      <c r="B36" s="0"/>
      <c r="C36" s="0"/>
      <c r="D36" s="0"/>
      <c r="E36" s="0"/>
      <c r="F36" s="0"/>
      <c r="G36" s="213" t="s">
        <v>780</v>
      </c>
      <c r="H36" s="213" t="s">
        <v>781</v>
      </c>
      <c r="I36" s="213" t="s">
        <v>782</v>
      </c>
      <c r="J36" s="213" t="s">
        <v>783</v>
      </c>
      <c r="K36" s="236" t="s">
        <v>780</v>
      </c>
      <c r="L36" s="213" t="s">
        <v>781</v>
      </c>
      <c r="M36" s="213" t="s">
        <v>782</v>
      </c>
      <c r="N36" s="213" t="s">
        <v>783</v>
      </c>
      <c r="O36" s="0"/>
      <c r="P36" s="0"/>
      <c r="R36" s="0"/>
      <c r="S36" s="0"/>
      <c r="T36" s="0"/>
      <c r="U36" s="0"/>
      <c r="V36" s="0"/>
      <c r="W36" s="0"/>
      <c r="X36" s="0"/>
      <c r="Y36" s="0"/>
      <c r="Z36" s="0"/>
    </row>
    <row r="37" customFormat="false" ht="15" hidden="false" customHeight="false" outlineLevel="0" collapsed="false">
      <c r="B37" s="188" t="s">
        <v>784</v>
      </c>
      <c r="C37" s="188" t="s">
        <v>785</v>
      </c>
      <c r="D37" s="188" t="s">
        <v>786</v>
      </c>
      <c r="E37" s="188" t="s">
        <v>787</v>
      </c>
      <c r="F37" s="188" t="s">
        <v>788</v>
      </c>
      <c r="G37" s="237" t="e">
        <f aca="false">D7*1000</f>
        <v>#REF!</v>
      </c>
      <c r="H37" s="237" t="e">
        <f aca="false">H34*$G$37</f>
        <v>#REF!</v>
      </c>
      <c r="I37" s="237" t="e">
        <f aca="false">G37*(1.02)^30</f>
        <v>#REF!</v>
      </c>
      <c r="J37" s="237" t="e">
        <f aca="false">H37*(1.02)^30</f>
        <v>#REF!</v>
      </c>
      <c r="K37" s="238" t="e">
        <f aca="false">G37*$L$35</f>
        <v>#REF!</v>
      </c>
      <c r="L37" s="237" t="e">
        <f aca="false">H37*$L$35</f>
        <v>#REF!</v>
      </c>
      <c r="M37" s="237" t="e">
        <f aca="false">I37*$L$35</f>
        <v>#REF!</v>
      </c>
      <c r="N37" s="237" t="e">
        <f aca="false">J37*$L$35</f>
        <v>#REF!</v>
      </c>
      <c r="O37" s="239" t="e">
        <f aca="false">(N37-G37)/G37</f>
        <v>#REF!</v>
      </c>
      <c r="P37" s="0"/>
      <c r="R37" s="0"/>
      <c r="S37" s="0"/>
      <c r="T37" s="0"/>
      <c r="U37" s="0"/>
      <c r="V37" s="0"/>
      <c r="W37" s="0"/>
      <c r="X37" s="0"/>
      <c r="Y37" s="0"/>
      <c r="Z37" s="0"/>
    </row>
    <row r="38" customFormat="false" ht="15" hidden="false" customHeight="false" outlineLevel="0" collapsed="false">
      <c r="B38" s="18" t="s">
        <v>789</v>
      </c>
      <c r="C38" s="18" t="s">
        <v>790</v>
      </c>
      <c r="D38" s="18" t="n">
        <v>0.66</v>
      </c>
      <c r="E38" s="18" t="n">
        <v>2.75</v>
      </c>
      <c r="F38" s="240" t="n">
        <v>16459.7286842972</v>
      </c>
      <c r="G38" s="177" t="e">
        <f aca="false">$E38*(G$37/$F38)^$D38</f>
        <v>#REF!</v>
      </c>
      <c r="H38" s="177" t="e">
        <f aca="false">$E38*(H$37/$F38)^$D38</f>
        <v>#REF!</v>
      </c>
      <c r="I38" s="177" t="e">
        <f aca="false">$E38*(I$37/$F38)^$D38</f>
        <v>#REF!</v>
      </c>
      <c r="J38" s="177" t="e">
        <f aca="false">$E38*(J$37/$F38)^$D38</f>
        <v>#REF!</v>
      </c>
      <c r="K38" s="218" t="e">
        <f aca="false">$E38*(K$37/$F38)^$D38</f>
        <v>#REF!</v>
      </c>
      <c r="L38" s="177" t="e">
        <f aca="false">$E38*(L$37/$F38)^$D38</f>
        <v>#REF!</v>
      </c>
      <c r="M38" s="177" t="e">
        <f aca="false">$E38*(M$37/$F38)^$D38</f>
        <v>#REF!</v>
      </c>
      <c r="N38" s="177" t="e">
        <f aca="false">$E38*(N$37/$F38)^$D38</f>
        <v>#REF!</v>
      </c>
      <c r="O38" s="0"/>
      <c r="P38" s="0"/>
      <c r="R38" s="0"/>
      <c r="S38" s="0"/>
      <c r="T38" s="0"/>
      <c r="U38" s="0"/>
      <c r="V38" s="0"/>
      <c r="W38" s="0"/>
      <c r="X38" s="0"/>
      <c r="Y38" s="0"/>
      <c r="Z38" s="0"/>
    </row>
    <row r="39" customFormat="false" ht="15" hidden="false" customHeight="false" outlineLevel="0" collapsed="false">
      <c r="B39" s="18" t="s">
        <v>751</v>
      </c>
      <c r="C39" s="18" t="s">
        <v>790</v>
      </c>
      <c r="D39" s="18" t="n">
        <v>0.6559</v>
      </c>
      <c r="E39" s="185" t="n">
        <v>5.4024</v>
      </c>
      <c r="F39" s="240" t="e">
        <f aca="false">$C$7*1000</f>
        <v>#REF!</v>
      </c>
      <c r="G39" s="177" t="e">
        <f aca="false">$E39*(G$37/$F39)^$D39</f>
        <v>#REF!</v>
      </c>
      <c r="H39" s="177" t="e">
        <f aca="false">$E39*(H$37/$F39)^$D39</f>
        <v>#REF!</v>
      </c>
      <c r="I39" s="177" t="e">
        <f aca="false">$E39*(I$37/$F39)^$D39</f>
        <v>#REF!</v>
      </c>
      <c r="J39" s="177" t="e">
        <f aca="false">$E39*(J$37/$F39)^$D39</f>
        <v>#REF!</v>
      </c>
      <c r="K39" s="235"/>
      <c r="L39" s="0"/>
      <c r="M39" s="0"/>
      <c r="N39" s="0"/>
      <c r="O39" s="0"/>
      <c r="P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5" hidden="false" customHeight="false" outlineLevel="0" collapsed="false">
      <c r="B40" s="18" t="s">
        <v>791</v>
      </c>
      <c r="C40" s="18" t="s">
        <v>790</v>
      </c>
      <c r="D40" s="18" t="n">
        <v>0.6624</v>
      </c>
      <c r="E40" s="185" t="n">
        <v>4.72821730292197</v>
      </c>
      <c r="F40" s="240" t="e">
        <f aca="false">$C$7*1000</f>
        <v>#REF!</v>
      </c>
      <c r="G40" s="177" t="e">
        <f aca="false">$E40*(G$37/$F40)^$D40</f>
        <v>#REF!</v>
      </c>
      <c r="H40" s="177" t="e">
        <f aca="false">$E40*(H$37/$F40)^$D40</f>
        <v>#REF!</v>
      </c>
      <c r="I40" s="177" t="e">
        <f aca="false">$E40*(I$37/$F40)^$D40</f>
        <v>#REF!</v>
      </c>
      <c r="J40" s="177" t="e">
        <f aca="false">$E40*(J$37/$F40)^$D40</f>
        <v>#REF!</v>
      </c>
      <c r="K40" s="235"/>
      <c r="L40" s="0"/>
      <c r="M40" s="0"/>
      <c r="N40" s="0"/>
      <c r="O40" s="0"/>
      <c r="P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5" hidden="false" customHeight="false" outlineLevel="0" collapsed="false">
      <c r="B41" s="18" t="s">
        <v>792</v>
      </c>
      <c r="C41" s="18" t="s">
        <v>790</v>
      </c>
      <c r="D41" s="18" t="n">
        <v>0.81</v>
      </c>
      <c r="E41" s="185" t="n">
        <v>0.420066786430802</v>
      </c>
      <c r="F41" s="240" t="e">
        <f aca="false">$C$7*1000</f>
        <v>#REF!</v>
      </c>
      <c r="G41" s="177" t="e">
        <f aca="false">$E41*(G$37/$F41)^$D41</f>
        <v>#REF!</v>
      </c>
      <c r="H41" s="177" t="e">
        <f aca="false">$E41*(H$37/$F41)^$D41</f>
        <v>#REF!</v>
      </c>
      <c r="I41" s="177" t="e">
        <f aca="false">$E41*(I$37/$F41)^$D41</f>
        <v>#REF!</v>
      </c>
      <c r="J41" s="177" t="e">
        <f aca="false">$E41*(J$37/$F41)^$D41</f>
        <v>#REF!</v>
      </c>
      <c r="K41" s="235"/>
      <c r="L41" s="0"/>
      <c r="M41" s="0"/>
      <c r="N41" s="0"/>
      <c r="O41" s="0"/>
      <c r="P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5" hidden="false" customHeight="false" outlineLevel="0" collapsed="false">
      <c r="B42" s="18" t="s">
        <v>793</v>
      </c>
      <c r="C42" s="18" t="s">
        <v>790</v>
      </c>
      <c r="D42" s="18" t="n">
        <v>0.66</v>
      </c>
      <c r="E42" s="185" t="n">
        <v>1.3605</v>
      </c>
      <c r="F42" s="240" t="e">
        <f aca="false">$C$7*1000</f>
        <v>#REF!</v>
      </c>
      <c r="G42" s="177" t="e">
        <f aca="false">$E42*(G$37/$F42)^$D42</f>
        <v>#REF!</v>
      </c>
      <c r="H42" s="177" t="e">
        <f aca="false">$E42*(H$37/$F42)^$D42</f>
        <v>#REF!</v>
      </c>
      <c r="I42" s="177" t="e">
        <f aca="false">$E42*(I$37/$F42)^$D42</f>
        <v>#REF!</v>
      </c>
      <c r="J42" s="177" t="e">
        <f aca="false">$E42*(J$37/$F42)^$D42</f>
        <v>#REF!</v>
      </c>
      <c r="K42" s="235"/>
      <c r="L42" s="0"/>
      <c r="M42" s="0"/>
      <c r="N42" s="0"/>
      <c r="O42" s="0"/>
      <c r="P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5" hidden="false" customHeight="false" outlineLevel="0" collapsed="false">
      <c r="B43" s="18" t="s">
        <v>794</v>
      </c>
      <c r="C43" s="0"/>
      <c r="D43" s="0"/>
      <c r="E43" s="0"/>
      <c r="F43" s="240" t="e">
        <f aca="false">$C$7*1000</f>
        <v>#REF!</v>
      </c>
      <c r="G43" s="177" t="e">
        <f aca="false">$E43*(G$37/$F43)^$D43</f>
        <v>#REF!</v>
      </c>
      <c r="H43" s="177" t="e">
        <f aca="false">$E43*(H$37/$F43)^$D43</f>
        <v>#REF!</v>
      </c>
      <c r="I43" s="177" t="e">
        <f aca="false">$E43*(I$37/$F43)^$D43</f>
        <v>#REF!</v>
      </c>
      <c r="J43" s="177" t="e">
        <f aca="false">$E43*(J$37/$F43)^$D43</f>
        <v>#REF!</v>
      </c>
      <c r="K43" s="235"/>
      <c r="L43" s="0"/>
      <c r="M43" s="0"/>
      <c r="N43" s="0"/>
      <c r="O43" s="0"/>
      <c r="P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5" hidden="false" customHeight="false" outlineLevel="0" collapsed="false">
      <c r="B44" s="18" t="s">
        <v>751</v>
      </c>
      <c r="C44" s="18" t="s">
        <v>795</v>
      </c>
      <c r="D44" s="18" t="n">
        <v>0.66</v>
      </c>
      <c r="E44" s="18" t="n">
        <f aca="false">100.8+24.7</f>
        <v>125.5</v>
      </c>
      <c r="F44" s="240" t="n">
        <v>1339000</v>
      </c>
      <c r="G44" s="177" t="e">
        <f aca="false">$E44*(G$37/$F44)^$D44</f>
        <v>#REF!</v>
      </c>
      <c r="H44" s="177" t="e">
        <f aca="false">$E44*(H$37/$F44)^$D44</f>
        <v>#REF!</v>
      </c>
      <c r="I44" s="177" t="e">
        <f aca="false">$E44*(I$37/$F44)^$D44</f>
        <v>#REF!</v>
      </c>
      <c r="J44" s="177" t="e">
        <f aca="false">$E44*(J$37/$F44)^$D44</f>
        <v>#REF!</v>
      </c>
      <c r="K44" s="235"/>
      <c r="L44" s="0"/>
      <c r="M44" s="0"/>
      <c r="N44" s="0"/>
      <c r="O44" s="0"/>
      <c r="P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5" hidden="false" customHeight="false" outlineLevel="0" collapsed="false">
      <c r="B45" s="18" t="s">
        <v>791</v>
      </c>
      <c r="C45" s="18" t="s">
        <v>795</v>
      </c>
      <c r="D45" s="18" t="n">
        <v>0.66</v>
      </c>
      <c r="E45" s="18" t="n">
        <f aca="false">81.4</f>
        <v>81.4</v>
      </c>
      <c r="F45" s="240" t="n">
        <v>1339000</v>
      </c>
      <c r="G45" s="177" t="e">
        <f aca="false">$E45*(G$37/$F45)^$D45</f>
        <v>#REF!</v>
      </c>
      <c r="H45" s="177" t="e">
        <f aca="false">$E45*(H$37/$F45)^$D45</f>
        <v>#REF!</v>
      </c>
      <c r="I45" s="177" t="e">
        <f aca="false">$E45*(I$37/$F45)^$D45</f>
        <v>#REF!</v>
      </c>
      <c r="J45" s="177" t="e">
        <f aca="false">$E45*(J$37/$F45)^$D45</f>
        <v>#REF!</v>
      </c>
      <c r="K45" s="235"/>
      <c r="L45" s="0"/>
      <c r="M45" s="0"/>
      <c r="N45" s="0"/>
      <c r="O45" s="0"/>
      <c r="P45" s="0"/>
      <c r="R45" s="0"/>
      <c r="S45" s="0"/>
      <c r="T45" s="0"/>
      <c r="U45" s="0"/>
      <c r="V45" s="0"/>
      <c r="W45" s="0"/>
      <c r="X45" s="0"/>
      <c r="Y45" s="0"/>
      <c r="Z45" s="0"/>
    </row>
    <row r="46" customFormat="false" ht="15" hidden="false" customHeight="false" outlineLevel="0" collapsed="false">
      <c r="B46" s="18" t="s">
        <v>792</v>
      </c>
      <c r="C46" s="18" t="s">
        <v>795</v>
      </c>
      <c r="D46" s="18" t="n">
        <v>0.66</v>
      </c>
      <c r="E46" s="241" t="n">
        <f aca="false">3.6</f>
        <v>3.6</v>
      </c>
      <c r="F46" s="240" t="n">
        <v>1339000</v>
      </c>
      <c r="G46" s="177" t="e">
        <f aca="false">$E46*(G$37/$F46)^$D46</f>
        <v>#REF!</v>
      </c>
      <c r="H46" s="177" t="e">
        <f aca="false">$E46*(H$37/$F46)^$D46</f>
        <v>#REF!</v>
      </c>
      <c r="I46" s="177" t="e">
        <f aca="false">$E46*(I$37/$F46)^$D46</f>
        <v>#REF!</v>
      </c>
      <c r="J46" s="177" t="e">
        <f aca="false">$E46*(J$37/$F46)^$D46</f>
        <v>#REF!</v>
      </c>
      <c r="K46" s="235"/>
      <c r="L46" s="177"/>
      <c r="M46" s="177"/>
      <c r="N46" s="177"/>
      <c r="O46" s="0"/>
      <c r="P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5" hidden="false" customHeight="false" outlineLevel="0" collapsed="false">
      <c r="B47" s="18" t="s">
        <v>796</v>
      </c>
      <c r="C47" s="18" t="s">
        <v>795</v>
      </c>
      <c r="D47" s="18" t="n">
        <v>0.66</v>
      </c>
      <c r="E47" s="18" t="n">
        <f aca="false">5.7+28.6</f>
        <v>34.3</v>
      </c>
      <c r="F47" s="240" t="n">
        <v>1339001</v>
      </c>
      <c r="G47" s="177" t="e">
        <f aca="false">$E47*(G$37/$F47)^$D47</f>
        <v>#REF!</v>
      </c>
      <c r="H47" s="177" t="e">
        <f aca="false">$E47*(H$37/$F47)^$D47</f>
        <v>#REF!</v>
      </c>
      <c r="I47" s="177" t="e">
        <f aca="false">$E47*(I$37/$F47)^$D47</f>
        <v>#REF!</v>
      </c>
      <c r="J47" s="177" t="e">
        <f aca="false">$E47*(J$37/$F47)^$D47</f>
        <v>#REF!</v>
      </c>
      <c r="K47" s="218" t="e">
        <f aca="false">$E47*((G$37-K$37)/$F47)^$D47</f>
        <v>#REF!</v>
      </c>
      <c r="L47" s="177" t="e">
        <f aca="false">$E47*((H$37-L$37)/$F47)^$D47</f>
        <v>#REF!</v>
      </c>
      <c r="M47" s="177" t="e">
        <f aca="false">$E47*((I$37-M$37)/$F47)^$D47</f>
        <v>#REF!</v>
      </c>
      <c r="N47" s="177" t="e">
        <f aca="false">$E47*((J$37-N$37)/$F47)^$D47</f>
        <v>#REF!</v>
      </c>
      <c r="O47" s="0"/>
      <c r="P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5" hidden="false" customHeight="false" outlineLevel="0" collapsed="false">
      <c r="B48" s="0"/>
      <c r="C48" s="0"/>
      <c r="H48" s="0"/>
      <c r="I48" s="0"/>
      <c r="J48" s="0"/>
      <c r="K48" s="0"/>
      <c r="L48" s="0"/>
      <c r="M48" s="0"/>
      <c r="N48" s="0"/>
      <c r="O48" s="0"/>
      <c r="P48" s="0"/>
      <c r="R48" s="0"/>
      <c r="S48" s="0"/>
      <c r="T48" s="0"/>
      <c r="U48" s="0"/>
      <c r="V48" s="0"/>
      <c r="W48" s="0"/>
      <c r="X48" s="0"/>
      <c r="Y48" s="0"/>
      <c r="Z48" s="0"/>
    </row>
    <row r="49" customFormat="false" ht="15" hidden="false" customHeight="false" outlineLevel="0" collapsed="false">
      <c r="B49" s="18" t="s">
        <v>797</v>
      </c>
      <c r="C49" s="242" t="e">
        <f aca="false">F44/(D6/330*1000)</f>
        <v>#REF!</v>
      </c>
      <c r="H49" s="0"/>
      <c r="I49" s="0"/>
      <c r="J49" s="0"/>
      <c r="K49" s="0"/>
      <c r="L49" s="0"/>
      <c r="M49" s="0"/>
      <c r="N49" s="0"/>
      <c r="O49" s="0"/>
      <c r="P49" s="0"/>
      <c r="R49" s="0"/>
      <c r="S49" s="0"/>
      <c r="T49" s="0"/>
      <c r="U49" s="0"/>
      <c r="V49" s="0"/>
      <c r="W49" s="0"/>
      <c r="X49" s="0"/>
      <c r="Y49" s="0"/>
      <c r="Z49" s="0"/>
    </row>
    <row r="50" customFormat="false" ht="15" hidden="false" customHeight="false" outlineLevel="0" collapsed="false">
      <c r="H50" s="0"/>
      <c r="I50" s="0"/>
      <c r="J50" s="0"/>
      <c r="K50" s="0"/>
      <c r="L50" s="0"/>
      <c r="M50" s="0"/>
      <c r="N50" s="0"/>
      <c r="O50" s="0"/>
      <c r="P50" s="0"/>
      <c r="R50" s="0"/>
      <c r="S50" s="0"/>
      <c r="T50" s="0"/>
      <c r="U50" s="0"/>
      <c r="V50" s="0"/>
      <c r="W50" s="0"/>
      <c r="X50" s="0"/>
      <c r="Y50" s="0"/>
      <c r="Z50" s="0"/>
    </row>
    <row r="51" customFormat="false" ht="15" hidden="false" customHeight="false" outlineLevel="0" collapsed="false">
      <c r="H51" s="0"/>
      <c r="I51" s="0"/>
      <c r="J51" s="0"/>
      <c r="K51" s="0"/>
      <c r="L51" s="0"/>
      <c r="M51" s="0"/>
      <c r="N51" s="0"/>
      <c r="O51" s="0"/>
      <c r="P51" s="0"/>
      <c r="R51" s="0"/>
      <c r="S51" s="0"/>
      <c r="T51" s="0"/>
      <c r="U51" s="0"/>
      <c r="V51" s="0"/>
      <c r="W51" s="0"/>
      <c r="X51" s="0"/>
      <c r="Y51" s="0"/>
      <c r="Z51" s="0"/>
    </row>
    <row r="52" customFormat="false" ht="15" hidden="false" customHeight="false" outlineLevel="0" collapsed="false">
      <c r="H52" s="0"/>
      <c r="I52" s="0"/>
      <c r="J52" s="0"/>
      <c r="K52" s="0"/>
      <c r="L52" s="0"/>
      <c r="M52" s="0"/>
      <c r="N52" s="0"/>
      <c r="O52" s="0"/>
      <c r="P52" s="0"/>
      <c r="R52" s="0"/>
      <c r="S52" s="0"/>
      <c r="T52" s="0"/>
      <c r="U52" s="0"/>
      <c r="V52" s="0"/>
      <c r="W52" s="0"/>
      <c r="X52" s="0"/>
      <c r="Y52" s="0"/>
      <c r="Z52" s="0"/>
    </row>
    <row r="53" customFormat="false" ht="15" hidden="false" customHeight="false" outlineLevel="0" collapsed="false">
      <c r="H53" s="0"/>
      <c r="I53" s="0"/>
      <c r="J53" s="0"/>
      <c r="K53" s="0"/>
      <c r="L53" s="0"/>
      <c r="M53" s="0"/>
      <c r="N53" s="0"/>
      <c r="O53" s="0"/>
      <c r="P53" s="0"/>
      <c r="R53" s="0"/>
      <c r="S53" s="0"/>
      <c r="T53" s="0"/>
      <c r="U53" s="0"/>
      <c r="V53" s="0"/>
      <c r="W53" s="0"/>
      <c r="X53" s="0"/>
      <c r="Y53" s="0"/>
      <c r="Z53" s="0"/>
    </row>
    <row r="54" customFormat="false" ht="15" hidden="false" customHeight="false" outlineLevel="0" collapsed="false">
      <c r="H54" s="0"/>
      <c r="I54" s="0"/>
      <c r="J54" s="0"/>
      <c r="K54" s="0"/>
      <c r="L54" s="0"/>
      <c r="M54" s="0"/>
      <c r="N54" s="0"/>
      <c r="O54" s="0"/>
      <c r="P54" s="0"/>
      <c r="R54" s="0"/>
      <c r="S54" s="0"/>
      <c r="T54" s="0"/>
      <c r="U54" s="0"/>
      <c r="V54" s="0"/>
      <c r="W54" s="0"/>
      <c r="X54" s="0"/>
      <c r="Y54" s="0"/>
      <c r="Z54" s="0"/>
    </row>
    <row r="55" customFormat="false" ht="15" hidden="false" customHeight="false" outlineLevel="0" collapsed="false">
      <c r="H55" s="0"/>
      <c r="I55" s="0"/>
      <c r="J55" s="0"/>
      <c r="K55" s="0"/>
      <c r="L55" s="0"/>
      <c r="M55" s="0"/>
      <c r="N55" s="0"/>
      <c r="O55" s="0"/>
      <c r="P55" s="0"/>
      <c r="R55" s="0"/>
      <c r="S55" s="0"/>
      <c r="T55" s="0"/>
      <c r="U55" s="0"/>
      <c r="V55" s="0"/>
      <c r="W55" s="0"/>
      <c r="X55" s="0"/>
      <c r="Y55" s="0"/>
      <c r="Z55" s="0"/>
    </row>
    <row r="56" customFormat="false" ht="15" hidden="false" customHeight="false" outlineLevel="0" collapsed="false">
      <c r="H56" s="0"/>
      <c r="I56" s="0"/>
      <c r="J56" s="0"/>
      <c r="K56" s="0"/>
      <c r="L56" s="0"/>
      <c r="M56" s="0"/>
      <c r="N56" s="0"/>
      <c r="O56" s="0"/>
      <c r="P56" s="0"/>
      <c r="R56" s="0"/>
      <c r="S56" s="0"/>
      <c r="T56" s="0"/>
      <c r="U56" s="0"/>
      <c r="V56" s="0"/>
      <c r="W56" s="0"/>
      <c r="X56" s="0"/>
      <c r="Y56" s="0"/>
      <c r="Z56" s="0"/>
    </row>
    <row r="57" customFormat="false" ht="15" hidden="false" customHeight="false" outlineLevel="0" collapsed="false">
      <c r="H57" s="0"/>
      <c r="I57" s="0"/>
      <c r="J57" s="0"/>
      <c r="K57" s="0"/>
      <c r="L57" s="0"/>
      <c r="M57" s="0"/>
      <c r="N57" s="0"/>
      <c r="O57" s="0"/>
      <c r="P57" s="0"/>
      <c r="R57" s="0"/>
      <c r="S57" s="0"/>
      <c r="T57" s="0"/>
      <c r="U57" s="0"/>
      <c r="V57" s="0"/>
      <c r="W57" s="0"/>
      <c r="X57" s="0"/>
      <c r="Y57" s="0"/>
      <c r="Z57" s="0"/>
    </row>
    <row r="58" customFormat="false" ht="15" hidden="false" customHeight="false" outlineLevel="0" collapsed="false">
      <c r="H58" s="243" t="s">
        <v>798</v>
      </c>
      <c r="I58" s="244"/>
      <c r="J58" s="245" t="s">
        <v>749</v>
      </c>
      <c r="K58" s="245" t="s">
        <v>751</v>
      </c>
      <c r="L58" s="245" t="s">
        <v>747</v>
      </c>
      <c r="M58" s="245" t="s">
        <v>799</v>
      </c>
      <c r="N58" s="245" t="s">
        <v>800</v>
      </c>
      <c r="O58" s="245" t="s">
        <v>801</v>
      </c>
      <c r="P58" s="246" t="s">
        <v>802</v>
      </c>
      <c r="R58" s="243" t="s">
        <v>798</v>
      </c>
      <c r="S58" s="244"/>
      <c r="T58" s="245" t="s">
        <v>749</v>
      </c>
      <c r="U58" s="245" t="s">
        <v>751</v>
      </c>
      <c r="V58" s="245" t="s">
        <v>747</v>
      </c>
      <c r="W58" s="245" t="s">
        <v>799</v>
      </c>
      <c r="X58" s="245" t="s">
        <v>800</v>
      </c>
      <c r="Y58" s="245" t="s">
        <v>801</v>
      </c>
      <c r="Z58" s="246" t="s">
        <v>802</v>
      </c>
    </row>
    <row r="59" customFormat="false" ht="15" hidden="false" customHeight="false" outlineLevel="0" collapsed="false">
      <c r="H59" s="247" t="s">
        <v>803</v>
      </c>
      <c r="I59" s="248"/>
      <c r="J59" s="249" t="n">
        <v>1</v>
      </c>
      <c r="K59" s="250" t="n">
        <v>0</v>
      </c>
      <c r="L59" s="250" t="n">
        <v>0</v>
      </c>
      <c r="M59" s="250" t="n">
        <v>1</v>
      </c>
      <c r="N59" s="250" t="n">
        <v>1</v>
      </c>
      <c r="O59" s="250" t="n">
        <v>0</v>
      </c>
      <c r="P59" s="251" t="n">
        <v>1</v>
      </c>
      <c r="R59" s="247" t="s">
        <v>803</v>
      </c>
      <c r="S59" s="248"/>
      <c r="T59" s="252" t="n">
        <f aca="false">J59</f>
        <v>1</v>
      </c>
      <c r="U59" s="253" t="n">
        <f aca="false">K59</f>
        <v>0</v>
      </c>
      <c r="V59" s="253" t="n">
        <f aca="false">L59</f>
        <v>0</v>
      </c>
      <c r="W59" s="253" t="n">
        <f aca="false">M59</f>
        <v>1</v>
      </c>
      <c r="X59" s="253" t="n">
        <f aca="false">N59</f>
        <v>1</v>
      </c>
      <c r="Y59" s="253" t="n">
        <f aca="false">O59</f>
        <v>0</v>
      </c>
      <c r="Z59" s="254" t="n">
        <f aca="false">P59</f>
        <v>1</v>
      </c>
    </row>
    <row r="60" customFormat="false" ht="15" hidden="false" customHeight="false" outlineLevel="0" collapsed="false">
      <c r="H60" s="247" t="s">
        <v>804</v>
      </c>
      <c r="I60" s="248"/>
      <c r="J60" s="249" t="n">
        <v>0</v>
      </c>
      <c r="K60" s="250" t="n">
        <v>1</v>
      </c>
      <c r="L60" s="250" t="n">
        <v>0</v>
      </c>
      <c r="M60" s="250" t="n">
        <v>1</v>
      </c>
      <c r="N60" s="250" t="n">
        <v>0</v>
      </c>
      <c r="O60" s="250" t="n">
        <v>1</v>
      </c>
      <c r="P60" s="251" t="n">
        <v>1</v>
      </c>
      <c r="R60" s="247" t="s">
        <v>804</v>
      </c>
      <c r="S60" s="248"/>
      <c r="T60" s="249" t="n">
        <f aca="false">J60</f>
        <v>0</v>
      </c>
      <c r="U60" s="250" t="n">
        <f aca="false">K60</f>
        <v>1</v>
      </c>
      <c r="V60" s="250" t="n">
        <f aca="false">L60</f>
        <v>0</v>
      </c>
      <c r="W60" s="250" t="n">
        <f aca="false">M60</f>
        <v>1</v>
      </c>
      <c r="X60" s="250" t="n">
        <f aca="false">N60</f>
        <v>0</v>
      </c>
      <c r="Y60" s="250" t="n">
        <f aca="false">O60</f>
        <v>1</v>
      </c>
      <c r="Z60" s="251" t="n">
        <f aca="false">P60</f>
        <v>1</v>
      </c>
    </row>
    <row r="61" customFormat="false" ht="15" hidden="false" customHeight="false" outlineLevel="0" collapsed="false">
      <c r="H61" s="255" t="s">
        <v>805</v>
      </c>
      <c r="I61" s="256"/>
      <c r="J61" s="249" t="n">
        <v>0</v>
      </c>
      <c r="K61" s="250" t="n">
        <v>0</v>
      </c>
      <c r="L61" s="250" t="n">
        <v>1</v>
      </c>
      <c r="M61" s="250" t="n">
        <v>0</v>
      </c>
      <c r="N61" s="250" t="n">
        <v>1</v>
      </c>
      <c r="O61" s="250" t="n">
        <v>1</v>
      </c>
      <c r="P61" s="251" t="n">
        <v>1</v>
      </c>
      <c r="R61" s="255" t="s">
        <v>805</v>
      </c>
      <c r="S61" s="256"/>
      <c r="T61" s="249" t="n">
        <f aca="false">J61</f>
        <v>0</v>
      </c>
      <c r="U61" s="250" t="n">
        <f aca="false">K61</f>
        <v>0</v>
      </c>
      <c r="V61" s="250" t="n">
        <f aca="false">L61</f>
        <v>1</v>
      </c>
      <c r="W61" s="250" t="n">
        <f aca="false">M61</f>
        <v>0</v>
      </c>
      <c r="X61" s="250" t="n">
        <f aca="false">N61</f>
        <v>1</v>
      </c>
      <c r="Y61" s="250" t="n">
        <f aca="false">O61</f>
        <v>1</v>
      </c>
      <c r="Z61" s="251" t="n">
        <f aca="false">P61</f>
        <v>1</v>
      </c>
    </row>
    <row r="62" customFormat="false" ht="15" hidden="false" customHeight="false" outlineLevel="0" collapsed="false">
      <c r="H62" s="257" t="s">
        <v>758</v>
      </c>
      <c r="I62" s="258" t="s">
        <v>806</v>
      </c>
      <c r="J62" s="259"/>
      <c r="K62" s="259"/>
      <c r="L62" s="259"/>
      <c r="M62" s="259"/>
      <c r="N62" s="259"/>
      <c r="O62" s="259"/>
      <c r="P62" s="259"/>
      <c r="R62" s="257" t="s">
        <v>758</v>
      </c>
      <c r="S62" s="258" t="s">
        <v>806</v>
      </c>
      <c r="T62" s="259"/>
      <c r="U62" s="259"/>
      <c r="V62" s="259"/>
      <c r="W62" s="259"/>
      <c r="X62" s="259"/>
      <c r="Y62" s="259"/>
      <c r="Z62" s="259"/>
    </row>
    <row r="63" customFormat="false" ht="15" hidden="false" customHeight="false" outlineLevel="0" collapsed="false">
      <c r="H63" s="260" t="e">
        <f aca="false">"Baseline Facility ("&amp;ROUND(D6/1000,0)&amp;" kt/y)"</f>
        <v>#REF!</v>
      </c>
      <c r="I63" s="261" t="n">
        <v>390100000</v>
      </c>
      <c r="J63" s="262" t="n">
        <v>1</v>
      </c>
      <c r="K63" s="262" t="n">
        <v>1</v>
      </c>
      <c r="L63" s="262" t="n">
        <v>1</v>
      </c>
      <c r="M63" s="262" t="n">
        <v>1</v>
      </c>
      <c r="N63" s="262" t="n">
        <v>1</v>
      </c>
      <c r="O63" s="262" t="n">
        <v>1</v>
      </c>
      <c r="P63" s="263" t="n">
        <v>1</v>
      </c>
      <c r="R63" s="260" t="e">
        <f aca="false">"Baseline Facility ("&amp;ROUND(D6/1000,0)&amp;" kt/y)"</f>
        <v>#REF!</v>
      </c>
      <c r="S63" s="261" t="n">
        <f aca="false">I63</f>
        <v>390100000</v>
      </c>
      <c r="T63" s="262" t="n">
        <f aca="false">J63</f>
        <v>1</v>
      </c>
      <c r="U63" s="262" t="n">
        <f aca="false">K63</f>
        <v>1</v>
      </c>
      <c r="V63" s="262" t="n">
        <f aca="false">L63</f>
        <v>1</v>
      </c>
      <c r="W63" s="262" t="n">
        <f aca="false">M63</f>
        <v>1</v>
      </c>
      <c r="X63" s="262" t="n">
        <f aca="false">N63</f>
        <v>1</v>
      </c>
      <c r="Y63" s="262" t="n">
        <f aca="false">O63</f>
        <v>1</v>
      </c>
      <c r="Z63" s="262" t="n">
        <f aca="false">P63</f>
        <v>1</v>
      </c>
    </row>
    <row r="64" customFormat="false" ht="15" hidden="false" customHeight="false" outlineLevel="0" collapsed="false">
      <c r="H64" s="260" t="s">
        <v>807</v>
      </c>
      <c r="I64" s="261" t="n">
        <v>236691000</v>
      </c>
      <c r="J64" s="264" t="n">
        <f aca="false">IF(OR(J59=1,J61=1),1,0)</f>
        <v>1</v>
      </c>
      <c r="K64" s="264" t="n">
        <f aca="false">IF(OR(K59=1,K61=1),1,0)</f>
        <v>0</v>
      </c>
      <c r="L64" s="264" t="n">
        <f aca="false">IF(OR(L59=1,L61=1),1,0)</f>
        <v>1</v>
      </c>
      <c r="M64" s="264" t="n">
        <f aca="false">IF(OR(M59=1,M61=1),1,0)</f>
        <v>1</v>
      </c>
      <c r="N64" s="264" t="n">
        <f aca="false">IF(OR(N59=1,N61=1),1,0)</f>
        <v>1</v>
      </c>
      <c r="O64" s="264" t="n">
        <f aca="false">IF(OR(O59=1,O61=1),1,0)</f>
        <v>1</v>
      </c>
      <c r="P64" s="265" t="n">
        <f aca="false">IF(OR(P59=1,P61=1),1,0)</f>
        <v>1</v>
      </c>
      <c r="R64" s="260" t="s">
        <v>808</v>
      </c>
      <c r="S64" s="261" t="n">
        <f aca="false">I64</f>
        <v>236691000</v>
      </c>
      <c r="T64" s="262" t="n">
        <f aca="false">J64</f>
        <v>1</v>
      </c>
      <c r="U64" s="262" t="n">
        <f aca="false">K64</f>
        <v>0</v>
      </c>
      <c r="V64" s="262" t="n">
        <f aca="false">L64</f>
        <v>1</v>
      </c>
      <c r="W64" s="262" t="n">
        <f aca="false">M64</f>
        <v>1</v>
      </c>
      <c r="X64" s="262" t="n">
        <f aca="false">N64</f>
        <v>1</v>
      </c>
      <c r="Y64" s="262" t="n">
        <f aca="false">O64</f>
        <v>1</v>
      </c>
      <c r="Z64" s="262" t="n">
        <f aca="false">P64</f>
        <v>1</v>
      </c>
    </row>
    <row r="65" customFormat="false" ht="15" hidden="false" customHeight="false" outlineLevel="0" collapsed="false">
      <c r="H65" s="260" t="s">
        <v>748</v>
      </c>
      <c r="I65" s="261" t="e">
        <f aca="false">SUM(H42)*1000000</f>
        <v>#REF!</v>
      </c>
      <c r="J65" s="264" t="n">
        <f aca="false">IF(J61=1,1,0)</f>
        <v>0</v>
      </c>
      <c r="K65" s="264" t="n">
        <f aca="false">IF(K61=1,1,0)</f>
        <v>0</v>
      </c>
      <c r="L65" s="264" t="n">
        <f aca="false">IF(L61=1,1,0)</f>
        <v>1</v>
      </c>
      <c r="M65" s="264" t="n">
        <f aca="false">IF(M61=1,1,0)</f>
        <v>0</v>
      </c>
      <c r="N65" s="264" t="n">
        <f aca="false">IF(N61=1,1,0)</f>
        <v>1</v>
      </c>
      <c r="O65" s="264" t="n">
        <f aca="false">IF(O61=1,1,0)</f>
        <v>1</v>
      </c>
      <c r="P65" s="265" t="n">
        <f aca="false">IF(P61=1,1,0)</f>
        <v>1</v>
      </c>
      <c r="R65" s="260" t="s">
        <v>748</v>
      </c>
      <c r="S65" s="261" t="e">
        <f aca="false">I65</f>
        <v>#REF!</v>
      </c>
      <c r="T65" s="262" t="n">
        <f aca="false">J65</f>
        <v>0</v>
      </c>
      <c r="U65" s="262" t="n">
        <f aca="false">K65</f>
        <v>0</v>
      </c>
      <c r="V65" s="262" t="n">
        <f aca="false">L65</f>
        <v>1</v>
      </c>
      <c r="W65" s="262" t="n">
        <f aca="false">M65</f>
        <v>0</v>
      </c>
      <c r="X65" s="262" t="n">
        <f aca="false">N65</f>
        <v>1</v>
      </c>
      <c r="Y65" s="262" t="n">
        <f aca="false">O65</f>
        <v>1</v>
      </c>
      <c r="Z65" s="262" t="n">
        <f aca="false">P65</f>
        <v>1</v>
      </c>
    </row>
    <row r="66" customFormat="false" ht="15" hidden="false" customHeight="false" outlineLevel="0" collapsed="false">
      <c r="H66" s="260" t="s">
        <v>764</v>
      </c>
      <c r="I66" s="261" t="e">
        <f aca="false">SUM(H39:H41)*1000000</f>
        <v>#REF!</v>
      </c>
      <c r="J66" s="264" t="n">
        <f aca="false">IF(J60=1,1,0)</f>
        <v>0</v>
      </c>
      <c r="K66" s="264" t="n">
        <f aca="false">IF(K60=1,1,0)</f>
        <v>1</v>
      </c>
      <c r="L66" s="264" t="n">
        <f aca="false">IF(L60=1,1,0)</f>
        <v>0</v>
      </c>
      <c r="M66" s="264" t="n">
        <f aca="false">IF(M60=1,1,0)</f>
        <v>1</v>
      </c>
      <c r="N66" s="264" t="n">
        <f aca="false">IF(N60=1,1,0)</f>
        <v>0</v>
      </c>
      <c r="O66" s="264" t="n">
        <f aca="false">IF(O60=1,1,0)</f>
        <v>1</v>
      </c>
      <c r="P66" s="265" t="n">
        <f aca="false">IF(P60=1,1,0)</f>
        <v>1</v>
      </c>
      <c r="R66" s="260" t="s">
        <v>764</v>
      </c>
      <c r="S66" s="261" t="e">
        <f aca="false">I66</f>
        <v>#REF!</v>
      </c>
      <c r="T66" s="262" t="n">
        <f aca="false">J66</f>
        <v>0</v>
      </c>
      <c r="U66" s="262" t="n">
        <f aca="false">K66</f>
        <v>1</v>
      </c>
      <c r="V66" s="262" t="n">
        <f aca="false">L66</f>
        <v>0</v>
      </c>
      <c r="W66" s="262" t="n">
        <f aca="false">M66</f>
        <v>1</v>
      </c>
      <c r="X66" s="262" t="n">
        <f aca="false">N66</f>
        <v>0</v>
      </c>
      <c r="Y66" s="262" t="n">
        <f aca="false">O66</f>
        <v>1</v>
      </c>
      <c r="Z66" s="262" t="n">
        <f aca="false">P66</f>
        <v>1</v>
      </c>
    </row>
    <row r="67" customFormat="false" ht="15" hidden="false" customHeight="false" outlineLevel="0" collapsed="false">
      <c r="H67" s="260" t="s">
        <v>809</v>
      </c>
      <c r="I67" s="261" t="e">
        <f aca="false">H38*1000000</f>
        <v>#REF!</v>
      </c>
      <c r="J67" s="264" t="n">
        <f aca="false">IF(J59=1,1,0)</f>
        <v>1</v>
      </c>
      <c r="K67" s="264" t="n">
        <f aca="false">IF(K59=1,1,0)</f>
        <v>0</v>
      </c>
      <c r="L67" s="264" t="n">
        <f aca="false">IF(L59=1,1,0)</f>
        <v>0</v>
      </c>
      <c r="M67" s="264" t="n">
        <f aca="false">IF(M59=1,1,0)</f>
        <v>1</v>
      </c>
      <c r="N67" s="264" t="n">
        <f aca="false">IF(N59=1,1,0)</f>
        <v>1</v>
      </c>
      <c r="O67" s="264" t="n">
        <f aca="false">IF(O59=1,1,0)</f>
        <v>0</v>
      </c>
      <c r="P67" s="265" t="n">
        <f aca="false">IF(P59=1,1,0)</f>
        <v>1</v>
      </c>
      <c r="R67" s="260" t="s">
        <v>810</v>
      </c>
      <c r="S67" s="261" t="e">
        <f aca="false">I67</f>
        <v>#REF!</v>
      </c>
      <c r="T67" s="262" t="n">
        <f aca="false">J67</f>
        <v>1</v>
      </c>
      <c r="U67" s="262" t="n">
        <f aca="false">K67</f>
        <v>0</v>
      </c>
      <c r="V67" s="262" t="n">
        <f aca="false">L67</f>
        <v>0</v>
      </c>
      <c r="W67" s="262" t="n">
        <f aca="false">M67</f>
        <v>1</v>
      </c>
      <c r="X67" s="262" t="n">
        <f aca="false">N67</f>
        <v>1</v>
      </c>
      <c r="Y67" s="262" t="n">
        <f aca="false">O67</f>
        <v>0</v>
      </c>
      <c r="Z67" s="262" t="n">
        <f aca="false">P67</f>
        <v>1</v>
      </c>
    </row>
    <row r="68" customFormat="false" ht="15" hidden="false" customHeight="false" outlineLevel="0" collapsed="false">
      <c r="H68" s="260" t="s">
        <v>811</v>
      </c>
      <c r="I68" s="261" t="e">
        <f aca="false">L38*1000000</f>
        <v>#REF!</v>
      </c>
      <c r="J68" s="264" t="n">
        <f aca="false">IF(AND(J61=1,J59=0),1,0)</f>
        <v>0</v>
      </c>
      <c r="K68" s="264" t="n">
        <f aca="false">IF(AND(K61=1,K59=0),1,0)</f>
        <v>0</v>
      </c>
      <c r="L68" s="264" t="n">
        <f aca="false">IF(AND(L61=1,L59=0),1,0)</f>
        <v>1</v>
      </c>
      <c r="M68" s="264" t="n">
        <f aca="false">IF(AND(M61=1,M59=0),1,0)</f>
        <v>0</v>
      </c>
      <c r="N68" s="264" t="n">
        <f aca="false">IF(AND(N61=1,N59=0),1,0)</f>
        <v>0</v>
      </c>
      <c r="O68" s="264" t="n">
        <f aca="false">IF(AND(O61=1,O59=0),1,0)</f>
        <v>1</v>
      </c>
      <c r="P68" s="265" t="n">
        <f aca="false">IF(AND(P61=1,P59=0),1,0)</f>
        <v>0</v>
      </c>
      <c r="R68" s="260" t="s">
        <v>768</v>
      </c>
      <c r="S68" s="261" t="e">
        <f aca="false">I68</f>
        <v>#REF!</v>
      </c>
      <c r="T68" s="262" t="n">
        <f aca="false">J68</f>
        <v>0</v>
      </c>
      <c r="U68" s="262" t="n">
        <f aca="false">K68</f>
        <v>0</v>
      </c>
      <c r="V68" s="262" t="n">
        <f aca="false">L68</f>
        <v>1</v>
      </c>
      <c r="W68" s="262" t="n">
        <f aca="false">M68</f>
        <v>0</v>
      </c>
      <c r="X68" s="262" t="n">
        <f aca="false">N68</f>
        <v>0</v>
      </c>
      <c r="Y68" s="262" t="n">
        <f aca="false">O68</f>
        <v>1</v>
      </c>
      <c r="Z68" s="262" t="n">
        <f aca="false">P68</f>
        <v>0</v>
      </c>
    </row>
    <row r="69" customFormat="false" ht="15" hidden="false" customHeight="false" outlineLevel="0" collapsed="false">
      <c r="H69" s="260" t="s">
        <v>812</v>
      </c>
      <c r="I69" s="261" t="e">
        <f aca="false">H47*1000000</f>
        <v>#REF!</v>
      </c>
      <c r="J69" s="264" t="n">
        <f aca="false">IF(J60=1,1,0)</f>
        <v>0</v>
      </c>
      <c r="K69" s="264" t="n">
        <f aca="false">IF(K60=1,1,0)</f>
        <v>1</v>
      </c>
      <c r="L69" s="264" t="n">
        <f aca="false">IF(L60=1,1,0)</f>
        <v>0</v>
      </c>
      <c r="M69" s="264" t="n">
        <f aca="false">IF(M60=1,1,0)</f>
        <v>1</v>
      </c>
      <c r="N69" s="264" t="n">
        <f aca="false">IF(N60=1,1,0)</f>
        <v>0</v>
      </c>
      <c r="O69" s="264" t="n">
        <f aca="false">IF(O60=1,1,0)</f>
        <v>1</v>
      </c>
      <c r="P69" s="265" t="n">
        <f aca="false">IF(P60=1,1,0)</f>
        <v>1</v>
      </c>
      <c r="R69" s="260" t="s">
        <v>812</v>
      </c>
      <c r="S69" s="261" t="e">
        <f aca="false">I69</f>
        <v>#REF!</v>
      </c>
      <c r="T69" s="262" t="n">
        <f aca="false">J69</f>
        <v>0</v>
      </c>
      <c r="U69" s="262" t="n">
        <f aca="false">K69</f>
        <v>1</v>
      </c>
      <c r="V69" s="262" t="n">
        <f aca="false">L69</f>
        <v>0</v>
      </c>
      <c r="W69" s="262" t="n">
        <f aca="false">M69</f>
        <v>1</v>
      </c>
      <c r="X69" s="262" t="n">
        <f aca="false">N69</f>
        <v>0</v>
      </c>
      <c r="Y69" s="262" t="n">
        <f aca="false">O69</f>
        <v>1</v>
      </c>
      <c r="Z69" s="262" t="n">
        <f aca="false">P69</f>
        <v>1</v>
      </c>
    </row>
    <row r="70" customFormat="false" ht="15" hidden="false" customHeight="false" outlineLevel="0" collapsed="false">
      <c r="H70" s="260" t="s">
        <v>813</v>
      </c>
      <c r="I70" s="261" t="e">
        <f aca="false">L47*1000000</f>
        <v>#REF!</v>
      </c>
      <c r="J70" s="266" t="n">
        <f aca="false">IF(AND(J61=1,J60=0),1,0)</f>
        <v>0</v>
      </c>
      <c r="K70" s="266" t="n">
        <f aca="false">IF(AND(K61=1,K60=0),1,0)</f>
        <v>0</v>
      </c>
      <c r="L70" s="266" t="n">
        <f aca="false">IF(AND(L61=1,L60=0),1,0)</f>
        <v>1</v>
      </c>
      <c r="M70" s="266" t="n">
        <f aca="false">IF(AND(M61=1,M60=0),1,0)</f>
        <v>0</v>
      </c>
      <c r="N70" s="266" t="n">
        <f aca="false">IF(AND(N61=1,N60=0),1,0)</f>
        <v>1</v>
      </c>
      <c r="O70" s="266" t="n">
        <f aca="false">IF(AND(O61=1,O60=0),1,0)</f>
        <v>0</v>
      </c>
      <c r="P70" s="266" t="n">
        <f aca="false">IF(AND(P61=1,P60=0),1,0)</f>
        <v>0</v>
      </c>
      <c r="R70" s="260" t="s">
        <v>813</v>
      </c>
      <c r="S70" s="261" t="e">
        <f aca="false">I70</f>
        <v>#REF!</v>
      </c>
      <c r="T70" s="267" t="n">
        <f aca="false">J70</f>
        <v>0</v>
      </c>
      <c r="U70" s="267" t="n">
        <f aca="false">K70</f>
        <v>0</v>
      </c>
      <c r="V70" s="267" t="n">
        <f aca="false">L70</f>
        <v>1</v>
      </c>
      <c r="W70" s="267" t="n">
        <f aca="false">M70</f>
        <v>0</v>
      </c>
      <c r="X70" s="267" t="n">
        <f aca="false">N70</f>
        <v>1</v>
      </c>
      <c r="Y70" s="267" t="n">
        <f aca="false">O70</f>
        <v>0</v>
      </c>
      <c r="Z70" s="267" t="n">
        <f aca="false">P70</f>
        <v>0</v>
      </c>
    </row>
    <row r="71" customFormat="false" ht="15" hidden="false" customHeight="false" outlineLevel="0" collapsed="false">
      <c r="H71" s="268" t="s">
        <v>12</v>
      </c>
      <c r="I71" s="269" t="n">
        <v>22800000</v>
      </c>
      <c r="J71" s="270" t="n">
        <v>1</v>
      </c>
      <c r="K71" s="270" t="n">
        <v>1</v>
      </c>
      <c r="L71" s="270" t="n">
        <v>1</v>
      </c>
      <c r="M71" s="270" t="n">
        <v>1</v>
      </c>
      <c r="N71" s="270" t="n">
        <v>1</v>
      </c>
      <c r="O71" s="270" t="n">
        <v>1</v>
      </c>
      <c r="P71" s="271" t="n">
        <v>1</v>
      </c>
      <c r="R71" s="268" t="s">
        <v>12</v>
      </c>
      <c r="S71" s="269" t="n">
        <v>22800000</v>
      </c>
      <c r="T71" s="270" t="n">
        <f aca="false">J71</f>
        <v>1</v>
      </c>
      <c r="U71" s="270" t="n">
        <f aca="false">K71</f>
        <v>1</v>
      </c>
      <c r="V71" s="270" t="n">
        <f aca="false">L71</f>
        <v>1</v>
      </c>
      <c r="W71" s="270" t="n">
        <f aca="false">M71</f>
        <v>1</v>
      </c>
      <c r="X71" s="270" t="n">
        <f aca="false">N71</f>
        <v>1</v>
      </c>
      <c r="Y71" s="270" t="n">
        <f aca="false">O71</f>
        <v>1</v>
      </c>
      <c r="Z71" s="270" t="n">
        <f aca="false">P71</f>
        <v>1</v>
      </c>
    </row>
    <row r="72" customFormat="false" ht="15" hidden="false" customHeight="false" outlineLevel="0" collapsed="false">
      <c r="H72" s="272" t="s">
        <v>814</v>
      </c>
      <c r="I72" s="273" t="n">
        <v>0.05</v>
      </c>
      <c r="J72" s="264" t="n">
        <v>1</v>
      </c>
      <c r="K72" s="264" t="n">
        <v>1</v>
      </c>
      <c r="L72" s="264" t="n">
        <v>1</v>
      </c>
      <c r="M72" s="264" t="n">
        <v>1</v>
      </c>
      <c r="N72" s="264" t="n">
        <v>1</v>
      </c>
      <c r="O72" s="264" t="n">
        <v>1</v>
      </c>
      <c r="P72" s="265" t="n">
        <v>1</v>
      </c>
      <c r="R72" s="272" t="s">
        <v>814</v>
      </c>
      <c r="S72" s="273" t="n">
        <f aca="false">I72</f>
        <v>0.05</v>
      </c>
      <c r="T72" s="262" t="n">
        <f aca="false">J72</f>
        <v>1</v>
      </c>
      <c r="U72" s="262" t="n">
        <f aca="false">K72</f>
        <v>1</v>
      </c>
      <c r="V72" s="262" t="n">
        <f aca="false">L72</f>
        <v>1</v>
      </c>
      <c r="W72" s="262" t="n">
        <f aca="false">M72</f>
        <v>1</v>
      </c>
      <c r="X72" s="262" t="n">
        <f aca="false">N72</f>
        <v>1</v>
      </c>
      <c r="Y72" s="262" t="n">
        <f aca="false">O72</f>
        <v>1</v>
      </c>
      <c r="Z72" s="262" t="n">
        <f aca="false">P72</f>
        <v>1</v>
      </c>
    </row>
    <row r="73" customFormat="false" ht="15" hidden="false" customHeight="false" outlineLevel="0" collapsed="false">
      <c r="H73" s="0"/>
      <c r="I73" s="274" t="s">
        <v>815</v>
      </c>
      <c r="J73" s="225" t="e">
        <f aca="false">SUMPRODUCT(J63:J70,$I$63:$I$70)</f>
        <v>#REF!</v>
      </c>
      <c r="K73" s="225" t="e">
        <f aca="false">SUMPRODUCT(K63:K70,$I$63:$I$70)</f>
        <v>#REF!</v>
      </c>
      <c r="L73" s="225" t="e">
        <f aca="false">SUMPRODUCT(L63:L70,$I$63:$I$70)</f>
        <v>#REF!</v>
      </c>
      <c r="M73" s="225" t="e">
        <f aca="false">SUMPRODUCT(M63:M70,$I$63:$I$70)</f>
        <v>#REF!</v>
      </c>
      <c r="N73" s="225" t="e">
        <f aca="false">SUMPRODUCT(N63:N70,$I$63:$I$70)</f>
        <v>#REF!</v>
      </c>
      <c r="O73" s="225" t="e">
        <f aca="false">SUMPRODUCT(O63:O70,$I$63:$I$70)</f>
        <v>#REF!</v>
      </c>
      <c r="P73" s="225" t="e">
        <f aca="false">SUMPRODUCT(P63:P70,$I$63:$I$70)</f>
        <v>#REF!</v>
      </c>
      <c r="R73" s="0"/>
      <c r="S73" s="274" t="s">
        <v>816</v>
      </c>
      <c r="T73" s="225" t="e">
        <f aca="false">J73/1000000</f>
        <v>#REF!</v>
      </c>
      <c r="U73" s="225" t="e">
        <f aca="false">K73/1000000</f>
        <v>#REF!</v>
      </c>
      <c r="V73" s="225" t="e">
        <f aca="false">L73/1000000</f>
        <v>#REF!</v>
      </c>
      <c r="W73" s="225" t="e">
        <f aca="false">M73/1000000</f>
        <v>#REF!</v>
      </c>
      <c r="X73" s="225" t="e">
        <f aca="false">N73/1000000</f>
        <v>#REF!</v>
      </c>
      <c r="Y73" s="225" t="e">
        <f aca="false">O73/1000000</f>
        <v>#REF!</v>
      </c>
      <c r="Z73" s="225" t="e">
        <f aca="false">P73/1000000</f>
        <v>#REF!</v>
      </c>
    </row>
    <row r="74" customFormat="false" ht="15" hidden="false" customHeight="false" outlineLevel="0" collapsed="false">
      <c r="H74" s="0"/>
      <c r="I74" s="274" t="s">
        <v>817</v>
      </c>
      <c r="J74" s="226" t="e">
        <f aca="false">J73+$I$71+$I$72*J73</f>
        <v>#REF!</v>
      </c>
      <c r="K74" s="226" t="e">
        <f aca="false">K73+$I$71+$I$72*K73</f>
        <v>#REF!</v>
      </c>
      <c r="L74" s="226" t="e">
        <f aca="false">L73+$I$71+$I$72*L73</f>
        <v>#REF!</v>
      </c>
      <c r="M74" s="226" t="e">
        <f aca="false">M73+$I$71+$I$72*M73</f>
        <v>#REF!</v>
      </c>
      <c r="N74" s="226" t="e">
        <f aca="false">N73+$I$71+$I$72*N73</f>
        <v>#REF!</v>
      </c>
      <c r="O74" s="226" t="e">
        <f aca="false">O73+$I$71+$I$72*O73</f>
        <v>#REF!</v>
      </c>
      <c r="P74" s="226" t="e">
        <f aca="false">P73+$I$71+$I$72*P73</f>
        <v>#REF!</v>
      </c>
      <c r="R74" s="0"/>
      <c r="S74" s="274" t="s">
        <v>818</v>
      </c>
      <c r="T74" s="225" t="e">
        <f aca="false">J74/1000000</f>
        <v>#REF!</v>
      </c>
      <c r="U74" s="225" t="e">
        <f aca="false">K74/1000000</f>
        <v>#REF!</v>
      </c>
      <c r="V74" s="225" t="e">
        <f aca="false">L74/1000000</f>
        <v>#REF!</v>
      </c>
      <c r="W74" s="225" t="e">
        <f aca="false">M74/1000000</f>
        <v>#REF!</v>
      </c>
      <c r="X74" s="225" t="e">
        <f aca="false">N74/1000000</f>
        <v>#REF!</v>
      </c>
      <c r="Y74" s="225" t="e">
        <f aca="false">O74/1000000</f>
        <v>#REF!</v>
      </c>
      <c r="Z74" s="225" t="e">
        <f aca="false">P74/1000000</f>
        <v>#REF!</v>
      </c>
    </row>
    <row r="75" customFormat="false" ht="15" hidden="false" customHeight="false" outlineLevel="0" collapsed="false">
      <c r="H75" s="0"/>
      <c r="I75" s="274" t="s">
        <v>819</v>
      </c>
      <c r="J75" s="225" t="e">
        <f aca="false">J73/$D$6</f>
        <v>#REF!</v>
      </c>
      <c r="K75" s="225" t="e">
        <f aca="false">K73/$D$6</f>
        <v>#REF!</v>
      </c>
      <c r="L75" s="225" t="e">
        <f aca="false">L73/$D$6</f>
        <v>#REF!</v>
      </c>
      <c r="M75" s="225" t="e">
        <f aca="false">M73/$D$6</f>
        <v>#REF!</v>
      </c>
      <c r="N75" s="225" t="e">
        <f aca="false">N73/$D$6</f>
        <v>#REF!</v>
      </c>
      <c r="O75" s="225" t="e">
        <f aca="false">O73/$D$6</f>
        <v>#REF!</v>
      </c>
      <c r="P75" s="225" t="e">
        <f aca="false">P73/$D$6</f>
        <v>#REF!</v>
      </c>
      <c r="R75" s="0"/>
      <c r="S75" s="274" t="s">
        <v>819</v>
      </c>
      <c r="T75" s="225" t="e">
        <f aca="false">J75</f>
        <v>#REF!</v>
      </c>
      <c r="U75" s="225" t="e">
        <f aca="false">K75</f>
        <v>#REF!</v>
      </c>
      <c r="V75" s="225" t="e">
        <f aca="false">L75</f>
        <v>#REF!</v>
      </c>
      <c r="W75" s="225" t="e">
        <f aca="false">M75</f>
        <v>#REF!</v>
      </c>
      <c r="X75" s="225" t="e">
        <f aca="false">N75</f>
        <v>#REF!</v>
      </c>
      <c r="Y75" s="225" t="e">
        <f aca="false">O75</f>
        <v>#REF!</v>
      </c>
      <c r="Z75" s="225" t="e">
        <f aca="false">P75</f>
        <v>#REF!</v>
      </c>
    </row>
    <row r="76" customFormat="false" ht="15" hidden="false" customHeight="false" outlineLevel="0" collapsed="false">
      <c r="H76" s="0"/>
      <c r="I76" s="0"/>
      <c r="J76" s="0"/>
      <c r="K76" s="0"/>
      <c r="L76" s="0"/>
      <c r="M76" s="0"/>
      <c r="N76" s="0"/>
      <c r="O76" s="0"/>
      <c r="P76" s="0"/>
      <c r="R76" s="0"/>
      <c r="S76" s="0"/>
      <c r="T76" s="0"/>
      <c r="U76" s="0"/>
      <c r="V76" s="0"/>
      <c r="W76" s="0"/>
      <c r="X76" s="0"/>
      <c r="Y76" s="0"/>
      <c r="Z76" s="0"/>
    </row>
    <row r="77" customFormat="false" ht="15" hidden="false" customHeight="false" outlineLevel="0" collapsed="false">
      <c r="H77" s="18" t="s">
        <v>820</v>
      </c>
      <c r="I77" s="0"/>
      <c r="J77" s="0"/>
      <c r="K77" s="0"/>
      <c r="L77" s="0"/>
      <c r="M77" s="0"/>
      <c r="N77" s="0"/>
      <c r="O77" s="0"/>
      <c r="P77" s="0"/>
      <c r="R77" s="0"/>
      <c r="S77" s="0"/>
      <c r="T77" s="0"/>
      <c r="U77" s="0"/>
      <c r="V77" s="0"/>
      <c r="W77" s="0"/>
      <c r="X77" s="0"/>
      <c r="Y77" s="0"/>
      <c r="Z77" s="0"/>
    </row>
    <row r="78" customFormat="false" ht="15" hidden="false" customHeight="false" outlineLevel="0" collapsed="false">
      <c r="H78" s="243" t="s">
        <v>798</v>
      </c>
      <c r="I78" s="244"/>
      <c r="J78" s="245" t="s">
        <v>749</v>
      </c>
      <c r="K78" s="245" t="s">
        <v>751</v>
      </c>
      <c r="L78" s="245" t="s">
        <v>747</v>
      </c>
      <c r="M78" s="245" t="s">
        <v>799</v>
      </c>
      <c r="N78" s="245" t="s">
        <v>800</v>
      </c>
      <c r="O78" s="245" t="s">
        <v>801</v>
      </c>
      <c r="P78" s="246" t="s">
        <v>802</v>
      </c>
      <c r="R78" s="243" t="s">
        <v>798</v>
      </c>
      <c r="S78" s="244"/>
      <c r="T78" s="245" t="s">
        <v>749</v>
      </c>
      <c r="U78" s="245" t="s">
        <v>751</v>
      </c>
      <c r="V78" s="245" t="s">
        <v>747</v>
      </c>
      <c r="W78" s="245" t="s">
        <v>799</v>
      </c>
      <c r="X78" s="245" t="s">
        <v>800</v>
      </c>
      <c r="Y78" s="245" t="s">
        <v>801</v>
      </c>
      <c r="Z78" s="246" t="s">
        <v>802</v>
      </c>
    </row>
    <row r="79" customFormat="false" ht="15" hidden="false" customHeight="false" outlineLevel="0" collapsed="false">
      <c r="H79" s="247" t="s">
        <v>803</v>
      </c>
      <c r="I79" s="248"/>
      <c r="J79" s="249" t="n">
        <v>1</v>
      </c>
      <c r="K79" s="250" t="n">
        <v>0</v>
      </c>
      <c r="L79" s="250" t="n">
        <v>0</v>
      </c>
      <c r="M79" s="250" t="n">
        <v>1</v>
      </c>
      <c r="N79" s="250" t="n">
        <v>1</v>
      </c>
      <c r="O79" s="250" t="n">
        <v>0</v>
      </c>
      <c r="P79" s="251" t="n">
        <v>1</v>
      </c>
      <c r="R79" s="247" t="s">
        <v>803</v>
      </c>
      <c r="S79" s="248"/>
      <c r="T79" s="252" t="n">
        <f aca="false">J79</f>
        <v>1</v>
      </c>
      <c r="U79" s="253" t="n">
        <f aca="false">K79</f>
        <v>0</v>
      </c>
      <c r="V79" s="253" t="n">
        <f aca="false">L79</f>
        <v>0</v>
      </c>
      <c r="W79" s="253" t="n">
        <f aca="false">M79</f>
        <v>1</v>
      </c>
      <c r="X79" s="253" t="n">
        <f aca="false">N79</f>
        <v>1</v>
      </c>
      <c r="Y79" s="253" t="n">
        <f aca="false">O79</f>
        <v>0</v>
      </c>
      <c r="Z79" s="254" t="n">
        <f aca="false">P79</f>
        <v>1</v>
      </c>
    </row>
    <row r="80" customFormat="false" ht="15" hidden="false" customHeight="false" outlineLevel="0" collapsed="false">
      <c r="H80" s="247" t="s">
        <v>804</v>
      </c>
      <c r="I80" s="248"/>
      <c r="J80" s="249" t="n">
        <v>0</v>
      </c>
      <c r="K80" s="250" t="n">
        <v>1</v>
      </c>
      <c r="L80" s="250" t="n">
        <v>0</v>
      </c>
      <c r="M80" s="250" t="n">
        <v>1</v>
      </c>
      <c r="N80" s="250" t="n">
        <v>0</v>
      </c>
      <c r="O80" s="250" t="n">
        <v>1</v>
      </c>
      <c r="P80" s="251" t="n">
        <v>1</v>
      </c>
      <c r="R80" s="247" t="s">
        <v>804</v>
      </c>
      <c r="S80" s="248"/>
      <c r="T80" s="249" t="n">
        <f aca="false">J80</f>
        <v>0</v>
      </c>
      <c r="U80" s="250" t="n">
        <f aca="false">K80</f>
        <v>1</v>
      </c>
      <c r="V80" s="250" t="n">
        <f aca="false">L80</f>
        <v>0</v>
      </c>
      <c r="W80" s="250" t="n">
        <f aca="false">M80</f>
        <v>1</v>
      </c>
      <c r="X80" s="250" t="n">
        <f aca="false">N80</f>
        <v>0</v>
      </c>
      <c r="Y80" s="250" t="n">
        <f aca="false">O80</f>
        <v>1</v>
      </c>
      <c r="Z80" s="251" t="n">
        <f aca="false">P80</f>
        <v>1</v>
      </c>
    </row>
    <row r="81" customFormat="false" ht="15" hidden="false" customHeight="false" outlineLevel="0" collapsed="false">
      <c r="H81" s="255" t="s">
        <v>805</v>
      </c>
      <c r="I81" s="256"/>
      <c r="J81" s="249" t="n">
        <v>0</v>
      </c>
      <c r="K81" s="250" t="n">
        <v>0</v>
      </c>
      <c r="L81" s="250" t="n">
        <v>1</v>
      </c>
      <c r="M81" s="250" t="n">
        <v>0</v>
      </c>
      <c r="N81" s="250" t="n">
        <v>1</v>
      </c>
      <c r="O81" s="250" t="n">
        <v>1</v>
      </c>
      <c r="P81" s="251" t="n">
        <v>1</v>
      </c>
      <c r="R81" s="255" t="s">
        <v>805</v>
      </c>
      <c r="S81" s="256"/>
      <c r="T81" s="249" t="n">
        <f aca="false">J81</f>
        <v>0</v>
      </c>
      <c r="U81" s="250" t="n">
        <f aca="false">K81</f>
        <v>0</v>
      </c>
      <c r="V81" s="250" t="n">
        <f aca="false">L81</f>
        <v>1</v>
      </c>
      <c r="W81" s="250" t="n">
        <f aca="false">M81</f>
        <v>0</v>
      </c>
      <c r="X81" s="250" t="n">
        <f aca="false">N81</f>
        <v>1</v>
      </c>
      <c r="Y81" s="250" t="n">
        <f aca="false">O81</f>
        <v>1</v>
      </c>
      <c r="Z81" s="251" t="n">
        <f aca="false">P81</f>
        <v>1</v>
      </c>
    </row>
    <row r="82" customFormat="false" ht="15" hidden="false" customHeight="false" outlineLevel="0" collapsed="false">
      <c r="H82" s="257" t="s">
        <v>758</v>
      </c>
      <c r="I82" s="258" t="s">
        <v>806</v>
      </c>
      <c r="J82" s="259"/>
      <c r="K82" s="259"/>
      <c r="L82" s="259"/>
      <c r="M82" s="259"/>
      <c r="N82" s="259"/>
      <c r="O82" s="259"/>
      <c r="P82" s="259"/>
      <c r="R82" s="257" t="s">
        <v>758</v>
      </c>
      <c r="S82" s="258" t="s">
        <v>806</v>
      </c>
      <c r="T82" s="259"/>
      <c r="U82" s="259"/>
      <c r="V82" s="259"/>
      <c r="W82" s="259"/>
      <c r="X82" s="259"/>
      <c r="Y82" s="259"/>
      <c r="Z82" s="259"/>
    </row>
    <row r="83" customFormat="false" ht="15" hidden="false" customHeight="false" outlineLevel="0" collapsed="false">
      <c r="H83" s="260" t="str">
        <f aca="false">"Baseline Facility ("&amp;ROUND(D55/1000,0)&amp;" kt/y)"</f>
        <v>Baseline Facility (0 kt/y)</v>
      </c>
      <c r="I83" s="261" t="n">
        <v>390100000</v>
      </c>
      <c r="J83" s="262" t="n">
        <v>1</v>
      </c>
      <c r="K83" s="262" t="n">
        <v>1</v>
      </c>
      <c r="L83" s="262" t="n">
        <v>1</v>
      </c>
      <c r="M83" s="262" t="n">
        <v>1</v>
      </c>
      <c r="N83" s="262" t="n">
        <v>1</v>
      </c>
      <c r="O83" s="262" t="n">
        <v>1</v>
      </c>
      <c r="P83" s="263" t="n">
        <v>1</v>
      </c>
      <c r="R83" s="260" t="str">
        <f aca="false">"Baseline Facility ("&amp;ROUND(D55/1000,0)&amp;" kt/y)"</f>
        <v>Baseline Facility (0 kt/y)</v>
      </c>
      <c r="S83" s="261" t="n">
        <f aca="false">I83</f>
        <v>390100000</v>
      </c>
      <c r="T83" s="262" t="n">
        <f aca="false">J83</f>
        <v>1</v>
      </c>
      <c r="U83" s="262" t="n">
        <f aca="false">K83</f>
        <v>1</v>
      </c>
      <c r="V83" s="262" t="n">
        <f aca="false">L83</f>
        <v>1</v>
      </c>
      <c r="W83" s="262" t="n">
        <f aca="false">M83</f>
        <v>1</v>
      </c>
      <c r="X83" s="262" t="n">
        <f aca="false">N83</f>
        <v>1</v>
      </c>
      <c r="Y83" s="262" t="n">
        <f aca="false">O83</f>
        <v>1</v>
      </c>
      <c r="Z83" s="262" t="n">
        <f aca="false">P83</f>
        <v>1</v>
      </c>
    </row>
    <row r="84" customFormat="false" ht="15" hidden="false" customHeight="false" outlineLevel="0" collapsed="false">
      <c r="H84" s="260" t="s">
        <v>807</v>
      </c>
      <c r="I84" s="261" t="n">
        <v>236691000</v>
      </c>
      <c r="J84" s="264" t="n">
        <f aca="false">IF(OR(J79=1,J81=1),1,0)</f>
        <v>1</v>
      </c>
      <c r="K84" s="264" t="n">
        <f aca="false">IF(OR(K79=1,K81=1),1,0)</f>
        <v>0</v>
      </c>
      <c r="L84" s="264" t="n">
        <f aca="false">IF(OR(L79=1,L81=1),1,0)</f>
        <v>1</v>
      </c>
      <c r="M84" s="264" t="n">
        <f aca="false">IF(OR(M79=1,M81=1),1,0)</f>
        <v>1</v>
      </c>
      <c r="N84" s="264" t="n">
        <f aca="false">IF(OR(N79=1,N81=1),1,0)</f>
        <v>1</v>
      </c>
      <c r="O84" s="264" t="n">
        <f aca="false">IF(OR(O79=1,O81=1),1,0)</f>
        <v>1</v>
      </c>
      <c r="P84" s="265" t="n">
        <f aca="false">IF(OR(P79=1,P81=1),1,0)</f>
        <v>1</v>
      </c>
      <c r="R84" s="260" t="s">
        <v>808</v>
      </c>
      <c r="S84" s="261" t="n">
        <f aca="false">I84</f>
        <v>236691000</v>
      </c>
      <c r="T84" s="262" t="n">
        <f aca="false">J84</f>
        <v>1</v>
      </c>
      <c r="U84" s="262" t="n">
        <f aca="false">K84</f>
        <v>0</v>
      </c>
      <c r="V84" s="262" t="n">
        <f aca="false">L84</f>
        <v>1</v>
      </c>
      <c r="W84" s="262" t="n">
        <f aca="false">M84</f>
        <v>1</v>
      </c>
      <c r="X84" s="262" t="n">
        <f aca="false">N84</f>
        <v>1</v>
      </c>
      <c r="Y84" s="262" t="n">
        <f aca="false">O84</f>
        <v>1</v>
      </c>
      <c r="Z84" s="262" t="n">
        <f aca="false">P84</f>
        <v>1</v>
      </c>
    </row>
    <row r="85" customFormat="false" ht="15" hidden="false" customHeight="false" outlineLevel="0" collapsed="false">
      <c r="H85" s="260" t="s">
        <v>748</v>
      </c>
      <c r="I85" s="261" t="e">
        <f aca="false">SUM(J42)*1000000</f>
        <v>#REF!</v>
      </c>
      <c r="J85" s="264" t="n">
        <f aca="false">IF(J81=1,1,0)</f>
        <v>0</v>
      </c>
      <c r="K85" s="264" t="n">
        <f aca="false">IF(K81=1,1,0)</f>
        <v>0</v>
      </c>
      <c r="L85" s="264" t="n">
        <f aca="false">IF(L81=1,1,0)</f>
        <v>1</v>
      </c>
      <c r="M85" s="264" t="n">
        <f aca="false">IF(M81=1,1,0)</f>
        <v>0</v>
      </c>
      <c r="N85" s="264" t="n">
        <f aca="false">IF(N81=1,1,0)</f>
        <v>1</v>
      </c>
      <c r="O85" s="264" t="n">
        <f aca="false">IF(O81=1,1,0)</f>
        <v>1</v>
      </c>
      <c r="P85" s="265" t="n">
        <f aca="false">IF(P81=1,1,0)</f>
        <v>1</v>
      </c>
      <c r="R85" s="260" t="s">
        <v>748</v>
      </c>
      <c r="S85" s="261" t="e">
        <f aca="false">I85</f>
        <v>#REF!</v>
      </c>
      <c r="T85" s="262" t="n">
        <f aca="false">J85</f>
        <v>0</v>
      </c>
      <c r="U85" s="262" t="n">
        <f aca="false">K85</f>
        <v>0</v>
      </c>
      <c r="V85" s="262" t="n">
        <f aca="false">L85</f>
        <v>1</v>
      </c>
      <c r="W85" s="262" t="n">
        <f aca="false">M85</f>
        <v>0</v>
      </c>
      <c r="X85" s="262" t="n">
        <f aca="false">N85</f>
        <v>1</v>
      </c>
      <c r="Y85" s="262" t="n">
        <f aca="false">O85</f>
        <v>1</v>
      </c>
      <c r="Z85" s="262" t="n">
        <f aca="false">P85</f>
        <v>1</v>
      </c>
    </row>
    <row r="86" customFormat="false" ht="15" hidden="false" customHeight="false" outlineLevel="0" collapsed="false">
      <c r="H86" s="260" t="s">
        <v>764</v>
      </c>
      <c r="I86" s="261" t="e">
        <f aca="false">SUM(J39:J41)*1000000</f>
        <v>#REF!</v>
      </c>
      <c r="J86" s="264" t="n">
        <f aca="false">IF(J80=1,1,0)</f>
        <v>0</v>
      </c>
      <c r="K86" s="264" t="n">
        <f aca="false">IF(K80=1,1,0)</f>
        <v>1</v>
      </c>
      <c r="L86" s="264" t="n">
        <f aca="false">IF(L80=1,1,0)</f>
        <v>0</v>
      </c>
      <c r="M86" s="264" t="n">
        <f aca="false">IF(M80=1,1,0)</f>
        <v>1</v>
      </c>
      <c r="N86" s="264" t="n">
        <f aca="false">IF(N80=1,1,0)</f>
        <v>0</v>
      </c>
      <c r="O86" s="264" t="n">
        <f aca="false">IF(O80=1,1,0)</f>
        <v>1</v>
      </c>
      <c r="P86" s="265" t="n">
        <f aca="false">IF(P80=1,1,0)</f>
        <v>1</v>
      </c>
      <c r="R86" s="260" t="s">
        <v>764</v>
      </c>
      <c r="S86" s="261" t="e">
        <f aca="false">I86</f>
        <v>#REF!</v>
      </c>
      <c r="T86" s="262" t="n">
        <f aca="false">J86</f>
        <v>0</v>
      </c>
      <c r="U86" s="262" t="n">
        <f aca="false">K86</f>
        <v>1</v>
      </c>
      <c r="V86" s="262" t="n">
        <f aca="false">L86</f>
        <v>0</v>
      </c>
      <c r="W86" s="262" t="n">
        <f aca="false">M86</f>
        <v>1</v>
      </c>
      <c r="X86" s="262" t="n">
        <f aca="false">N86</f>
        <v>0</v>
      </c>
      <c r="Y86" s="262" t="n">
        <f aca="false">O86</f>
        <v>1</v>
      </c>
      <c r="Z86" s="262" t="n">
        <f aca="false">P86</f>
        <v>1</v>
      </c>
    </row>
    <row r="87" customFormat="false" ht="15" hidden="false" customHeight="false" outlineLevel="0" collapsed="false">
      <c r="H87" s="260" t="s">
        <v>809</v>
      </c>
      <c r="I87" s="261" t="e">
        <f aca="false">J38*1000000</f>
        <v>#REF!</v>
      </c>
      <c r="J87" s="264" t="n">
        <f aca="false">IF(J79=1,1,0)</f>
        <v>1</v>
      </c>
      <c r="K87" s="264" t="n">
        <f aca="false">IF(K79=1,1,0)</f>
        <v>0</v>
      </c>
      <c r="L87" s="264" t="n">
        <f aca="false">IF(L79=1,1,0)</f>
        <v>0</v>
      </c>
      <c r="M87" s="264" t="n">
        <f aca="false">IF(M79=1,1,0)</f>
        <v>1</v>
      </c>
      <c r="N87" s="264" t="n">
        <f aca="false">IF(N79=1,1,0)</f>
        <v>1</v>
      </c>
      <c r="O87" s="264" t="n">
        <f aca="false">IF(O79=1,1,0)</f>
        <v>0</v>
      </c>
      <c r="P87" s="265" t="n">
        <f aca="false">IF(P79=1,1,0)</f>
        <v>1</v>
      </c>
      <c r="R87" s="260" t="s">
        <v>810</v>
      </c>
      <c r="S87" s="261" t="e">
        <f aca="false">I87</f>
        <v>#REF!</v>
      </c>
      <c r="T87" s="262" t="n">
        <f aca="false">J87</f>
        <v>1</v>
      </c>
      <c r="U87" s="262" t="n">
        <f aca="false">K87</f>
        <v>0</v>
      </c>
      <c r="V87" s="262" t="n">
        <f aca="false">L87</f>
        <v>0</v>
      </c>
      <c r="W87" s="262" t="n">
        <f aca="false">M87</f>
        <v>1</v>
      </c>
      <c r="X87" s="262" t="n">
        <f aca="false">N87</f>
        <v>1</v>
      </c>
      <c r="Y87" s="262" t="n">
        <f aca="false">O87</f>
        <v>0</v>
      </c>
      <c r="Z87" s="262" t="n">
        <f aca="false">P87</f>
        <v>1</v>
      </c>
    </row>
    <row r="88" customFormat="false" ht="15" hidden="false" customHeight="false" outlineLevel="0" collapsed="false">
      <c r="H88" s="260" t="s">
        <v>811</v>
      </c>
      <c r="I88" s="261" t="e">
        <f aca="false">N38*1000000</f>
        <v>#REF!</v>
      </c>
      <c r="J88" s="264" t="n">
        <f aca="false">IF(AND(J81=1,J79=0),1,0)</f>
        <v>0</v>
      </c>
      <c r="K88" s="264" t="n">
        <f aca="false">IF(AND(K81=1,K79=0),1,0)</f>
        <v>0</v>
      </c>
      <c r="L88" s="264" t="n">
        <f aca="false">IF(AND(L81=1,L79=0),1,0)</f>
        <v>1</v>
      </c>
      <c r="M88" s="264" t="n">
        <f aca="false">IF(AND(M81=1,M79=0),1,0)</f>
        <v>0</v>
      </c>
      <c r="N88" s="264" t="n">
        <f aca="false">IF(AND(N81=1,N79=0),1,0)</f>
        <v>0</v>
      </c>
      <c r="O88" s="264" t="n">
        <f aca="false">IF(AND(O81=1,O79=0),1,0)</f>
        <v>1</v>
      </c>
      <c r="P88" s="265" t="n">
        <f aca="false">IF(AND(P81=1,P79=0),1,0)</f>
        <v>0</v>
      </c>
      <c r="R88" s="260" t="s">
        <v>768</v>
      </c>
      <c r="S88" s="261" t="e">
        <f aca="false">I88</f>
        <v>#REF!</v>
      </c>
      <c r="T88" s="262" t="n">
        <f aca="false">J88</f>
        <v>0</v>
      </c>
      <c r="U88" s="262" t="n">
        <f aca="false">K88</f>
        <v>0</v>
      </c>
      <c r="V88" s="262" t="n">
        <f aca="false">L88</f>
        <v>1</v>
      </c>
      <c r="W88" s="262" t="n">
        <f aca="false">M88</f>
        <v>0</v>
      </c>
      <c r="X88" s="262" t="n">
        <f aca="false">N88</f>
        <v>0</v>
      </c>
      <c r="Y88" s="262" t="n">
        <f aca="false">O88</f>
        <v>1</v>
      </c>
      <c r="Z88" s="262" t="n">
        <f aca="false">P88</f>
        <v>0</v>
      </c>
    </row>
    <row r="89" customFormat="false" ht="15" hidden="false" customHeight="false" outlineLevel="0" collapsed="false">
      <c r="H89" s="260" t="s">
        <v>812</v>
      </c>
      <c r="I89" s="261" t="e">
        <f aca="false">J47*1000000</f>
        <v>#REF!</v>
      </c>
      <c r="J89" s="264" t="n">
        <f aca="false">IF(J80=1,1,0)</f>
        <v>0</v>
      </c>
      <c r="K89" s="264" t="n">
        <f aca="false">IF(K80=1,1,0)</f>
        <v>1</v>
      </c>
      <c r="L89" s="264" t="n">
        <f aca="false">IF(L80=1,1,0)</f>
        <v>0</v>
      </c>
      <c r="M89" s="264" t="n">
        <f aca="false">IF(M80=1,1,0)</f>
        <v>1</v>
      </c>
      <c r="N89" s="264" t="n">
        <f aca="false">IF(N80=1,1,0)</f>
        <v>0</v>
      </c>
      <c r="O89" s="264" t="n">
        <f aca="false">IF(O80=1,1,0)</f>
        <v>1</v>
      </c>
      <c r="P89" s="265" t="n">
        <f aca="false">IF(P80=1,1,0)</f>
        <v>1</v>
      </c>
      <c r="R89" s="260" t="s">
        <v>812</v>
      </c>
      <c r="S89" s="261" t="e">
        <f aca="false">I89</f>
        <v>#REF!</v>
      </c>
      <c r="T89" s="262" t="n">
        <f aca="false">J89</f>
        <v>0</v>
      </c>
      <c r="U89" s="262" t="n">
        <f aca="false">K89</f>
        <v>1</v>
      </c>
      <c r="V89" s="262" t="n">
        <f aca="false">L89</f>
        <v>0</v>
      </c>
      <c r="W89" s="262" t="n">
        <f aca="false">M89</f>
        <v>1</v>
      </c>
      <c r="X89" s="262" t="n">
        <f aca="false">N89</f>
        <v>0</v>
      </c>
      <c r="Y89" s="262" t="n">
        <f aca="false">O89</f>
        <v>1</v>
      </c>
      <c r="Z89" s="262" t="n">
        <f aca="false">P89</f>
        <v>1</v>
      </c>
    </row>
    <row r="90" customFormat="false" ht="15" hidden="false" customHeight="false" outlineLevel="0" collapsed="false">
      <c r="H90" s="260" t="s">
        <v>813</v>
      </c>
      <c r="I90" s="261" t="e">
        <f aca="false">N47*1000000</f>
        <v>#REF!</v>
      </c>
      <c r="J90" s="266" t="n">
        <f aca="false">IF(AND(J81=1,J80=0),1,0)</f>
        <v>0</v>
      </c>
      <c r="K90" s="266" t="n">
        <f aca="false">IF(AND(K81=1,K80=0),1,0)</f>
        <v>0</v>
      </c>
      <c r="L90" s="266" t="n">
        <f aca="false">IF(AND(L81=1,L80=0),1,0)</f>
        <v>1</v>
      </c>
      <c r="M90" s="266" t="n">
        <f aca="false">IF(AND(M81=1,M80=0),1,0)</f>
        <v>0</v>
      </c>
      <c r="N90" s="266" t="n">
        <f aca="false">IF(AND(N81=1,N80=0),1,0)</f>
        <v>1</v>
      </c>
      <c r="O90" s="266" t="n">
        <f aca="false">IF(AND(O81=1,O80=0),1,0)</f>
        <v>0</v>
      </c>
      <c r="P90" s="266" t="n">
        <f aca="false">IF(AND(P81=1,P80=0),1,0)</f>
        <v>0</v>
      </c>
      <c r="R90" s="260" t="s">
        <v>813</v>
      </c>
      <c r="S90" s="261" t="e">
        <f aca="false">I90</f>
        <v>#REF!</v>
      </c>
      <c r="T90" s="267" t="n">
        <f aca="false">J90</f>
        <v>0</v>
      </c>
      <c r="U90" s="267" t="n">
        <f aca="false">K90</f>
        <v>0</v>
      </c>
      <c r="V90" s="267" t="n">
        <f aca="false">L90</f>
        <v>1</v>
      </c>
      <c r="W90" s="267" t="n">
        <f aca="false">M90</f>
        <v>0</v>
      </c>
      <c r="X90" s="267" t="n">
        <f aca="false">N90</f>
        <v>1</v>
      </c>
      <c r="Y90" s="267" t="n">
        <f aca="false">O90</f>
        <v>0</v>
      </c>
      <c r="Z90" s="267" t="n">
        <f aca="false">P90</f>
        <v>0</v>
      </c>
    </row>
    <row r="91" customFormat="false" ht="15" hidden="false" customHeight="false" outlineLevel="0" collapsed="false">
      <c r="H91" s="268" t="s">
        <v>12</v>
      </c>
      <c r="I91" s="269" t="n">
        <v>22800000</v>
      </c>
      <c r="J91" s="270" t="n">
        <v>1</v>
      </c>
      <c r="K91" s="270" t="n">
        <v>1</v>
      </c>
      <c r="L91" s="270" t="n">
        <v>1</v>
      </c>
      <c r="M91" s="270" t="n">
        <v>1</v>
      </c>
      <c r="N91" s="270" t="n">
        <v>1</v>
      </c>
      <c r="O91" s="270" t="n">
        <v>1</v>
      </c>
      <c r="P91" s="271" t="n">
        <v>1</v>
      </c>
      <c r="R91" s="268" t="s">
        <v>12</v>
      </c>
      <c r="S91" s="269" t="n">
        <v>22800000</v>
      </c>
      <c r="T91" s="270" t="n">
        <f aca="false">J91</f>
        <v>1</v>
      </c>
      <c r="U91" s="270" t="n">
        <f aca="false">K91</f>
        <v>1</v>
      </c>
      <c r="V91" s="270" t="n">
        <f aca="false">L91</f>
        <v>1</v>
      </c>
      <c r="W91" s="270" t="n">
        <f aca="false">M91</f>
        <v>1</v>
      </c>
      <c r="X91" s="270" t="n">
        <f aca="false">N91</f>
        <v>1</v>
      </c>
      <c r="Y91" s="270" t="n">
        <f aca="false">O91</f>
        <v>1</v>
      </c>
      <c r="Z91" s="270" t="n">
        <f aca="false">P91</f>
        <v>1</v>
      </c>
    </row>
    <row r="92" customFormat="false" ht="15" hidden="false" customHeight="false" outlineLevel="0" collapsed="false">
      <c r="H92" s="272" t="s">
        <v>814</v>
      </c>
      <c r="I92" s="273" t="n">
        <v>0.05</v>
      </c>
      <c r="J92" s="264" t="n">
        <v>1</v>
      </c>
      <c r="K92" s="264" t="n">
        <v>1</v>
      </c>
      <c r="L92" s="264" t="n">
        <v>1</v>
      </c>
      <c r="M92" s="264" t="n">
        <v>1</v>
      </c>
      <c r="N92" s="264" t="n">
        <v>1</v>
      </c>
      <c r="O92" s="264" t="n">
        <v>1</v>
      </c>
      <c r="P92" s="265" t="n">
        <v>1</v>
      </c>
      <c r="R92" s="272" t="s">
        <v>814</v>
      </c>
      <c r="S92" s="273" t="n">
        <f aca="false">I92</f>
        <v>0.05</v>
      </c>
      <c r="T92" s="262" t="n">
        <f aca="false">J92</f>
        <v>1</v>
      </c>
      <c r="U92" s="262" t="n">
        <f aca="false">K92</f>
        <v>1</v>
      </c>
      <c r="V92" s="262" t="n">
        <f aca="false">L92</f>
        <v>1</v>
      </c>
      <c r="W92" s="262" t="n">
        <f aca="false">M92</f>
        <v>1</v>
      </c>
      <c r="X92" s="262" t="n">
        <f aca="false">N92</f>
        <v>1</v>
      </c>
      <c r="Y92" s="262" t="n">
        <f aca="false">O92</f>
        <v>1</v>
      </c>
      <c r="Z92" s="262" t="n">
        <f aca="false">P92</f>
        <v>1</v>
      </c>
    </row>
    <row r="93" customFormat="false" ht="15" hidden="false" customHeight="false" outlineLevel="0" collapsed="false">
      <c r="H93" s="0"/>
      <c r="I93" s="274" t="s">
        <v>815</v>
      </c>
      <c r="J93" s="225" t="e">
        <f aca="false">SUMPRODUCT(J83:J90,$I$83:$I$90)</f>
        <v>#REF!</v>
      </c>
      <c r="K93" s="225" t="e">
        <f aca="false">SUMPRODUCT(K83:K90,$I$83:$I$90)</f>
        <v>#REF!</v>
      </c>
      <c r="L93" s="225" t="e">
        <f aca="false">SUMPRODUCT(L83:L90,$I$83:$I$90)</f>
        <v>#REF!</v>
      </c>
      <c r="M93" s="225" t="e">
        <f aca="false">SUMPRODUCT(M83:M90,$I$83:$I$90)</f>
        <v>#REF!</v>
      </c>
      <c r="N93" s="225" t="e">
        <f aca="false">SUMPRODUCT(N83:N90,$I$83:$I$90)</f>
        <v>#REF!</v>
      </c>
      <c r="O93" s="225" t="e">
        <f aca="false">SUMPRODUCT(O83:O90,$I$83:$I$90)</f>
        <v>#REF!</v>
      </c>
      <c r="P93" s="225" t="e">
        <f aca="false">SUMPRODUCT(P83:P90,$I$83:$I$90)</f>
        <v>#REF!</v>
      </c>
      <c r="R93" s="0"/>
      <c r="S93" s="274" t="s">
        <v>816</v>
      </c>
      <c r="T93" s="225" t="e">
        <f aca="false">J93/1000000</f>
        <v>#REF!</v>
      </c>
      <c r="U93" s="225" t="e">
        <f aca="false">K93/1000000</f>
        <v>#REF!</v>
      </c>
      <c r="V93" s="225" t="e">
        <f aca="false">L93/1000000</f>
        <v>#REF!</v>
      </c>
      <c r="W93" s="225" t="e">
        <f aca="false">M93/1000000</f>
        <v>#REF!</v>
      </c>
      <c r="X93" s="225" t="e">
        <f aca="false">N93/1000000</f>
        <v>#REF!</v>
      </c>
      <c r="Y93" s="225" t="e">
        <f aca="false">O93/1000000</f>
        <v>#REF!</v>
      </c>
      <c r="Z93" s="225" t="e">
        <f aca="false">P93/1000000</f>
        <v>#REF!</v>
      </c>
    </row>
    <row r="94" customFormat="false" ht="15" hidden="false" customHeight="false" outlineLevel="0" collapsed="false">
      <c r="H94" s="0"/>
      <c r="I94" s="274" t="s">
        <v>817</v>
      </c>
      <c r="J94" s="230" t="e">
        <f aca="false">J93+$I$91+$I$92*J93</f>
        <v>#REF!</v>
      </c>
      <c r="K94" s="230" t="e">
        <f aca="false">K93+$I$91+$I$92*K93</f>
        <v>#REF!</v>
      </c>
      <c r="L94" s="230" t="e">
        <f aca="false">L93+$I$91+$I$92*L93</f>
        <v>#REF!</v>
      </c>
      <c r="M94" s="230" t="e">
        <f aca="false">M93+$I$91+$I$92*M93</f>
        <v>#REF!</v>
      </c>
      <c r="N94" s="230" t="e">
        <f aca="false">N93+$I$91+$I$92*N93</f>
        <v>#REF!</v>
      </c>
      <c r="O94" s="230" t="e">
        <f aca="false">O93+$I$91+$I$92*O93</f>
        <v>#REF!</v>
      </c>
      <c r="P94" s="230" t="e">
        <f aca="false">P93+$I$91+$I$92*P93</f>
        <v>#REF!</v>
      </c>
      <c r="R94" s="0"/>
      <c r="S94" s="274" t="s">
        <v>818</v>
      </c>
      <c r="T94" s="225" t="e">
        <f aca="false">J94/1000000</f>
        <v>#REF!</v>
      </c>
      <c r="U94" s="225" t="e">
        <f aca="false">K94/1000000</f>
        <v>#REF!</v>
      </c>
      <c r="V94" s="225" t="e">
        <f aca="false">L94/1000000</f>
        <v>#REF!</v>
      </c>
      <c r="W94" s="225" t="e">
        <f aca="false">M94/1000000</f>
        <v>#REF!</v>
      </c>
      <c r="X94" s="225" t="e">
        <f aca="false">N94/1000000</f>
        <v>#REF!</v>
      </c>
      <c r="Y94" s="225" t="e">
        <f aca="false">O94/1000000</f>
        <v>#REF!</v>
      </c>
      <c r="Z94" s="225" t="e">
        <f aca="false">P94/1000000</f>
        <v>#REF!</v>
      </c>
    </row>
    <row r="95" customFormat="false" ht="15" hidden="false" customHeight="false" outlineLevel="0" collapsed="false">
      <c r="H95" s="0"/>
      <c r="I95" s="274" t="s">
        <v>819</v>
      </c>
      <c r="J95" s="225" t="e">
        <f aca="false">J93/$D$6</f>
        <v>#REF!</v>
      </c>
      <c r="K95" s="225" t="e">
        <f aca="false">K93/$D$6</f>
        <v>#REF!</v>
      </c>
      <c r="L95" s="225" t="e">
        <f aca="false">L93/$D$6</f>
        <v>#REF!</v>
      </c>
      <c r="M95" s="225" t="e">
        <f aca="false">M93/$D$6</f>
        <v>#REF!</v>
      </c>
      <c r="N95" s="225" t="e">
        <f aca="false">N93/$D$6</f>
        <v>#REF!</v>
      </c>
      <c r="O95" s="225" t="e">
        <f aca="false">O93/$D$6</f>
        <v>#REF!</v>
      </c>
      <c r="P95" s="225" t="e">
        <f aca="false">P93/$D$6</f>
        <v>#REF!</v>
      </c>
      <c r="R95" s="0"/>
      <c r="S95" s="274" t="s">
        <v>819</v>
      </c>
      <c r="T95" s="225" t="e">
        <f aca="false">J95</f>
        <v>#REF!</v>
      </c>
      <c r="U95" s="225" t="e">
        <f aca="false">K95</f>
        <v>#REF!</v>
      </c>
      <c r="V95" s="225" t="e">
        <f aca="false">L95</f>
        <v>#REF!</v>
      </c>
      <c r="W95" s="225" t="e">
        <f aca="false">M95</f>
        <v>#REF!</v>
      </c>
      <c r="X95" s="225" t="e">
        <f aca="false">N95</f>
        <v>#REF!</v>
      </c>
      <c r="Y95" s="225" t="e">
        <f aca="false">O95</f>
        <v>#REF!</v>
      </c>
      <c r="Z95" s="225" t="e">
        <f aca="false">P95</f>
        <v>#REF!</v>
      </c>
    </row>
    <row r="96" customFormat="false" ht="15" hidden="false" customHeight="false" outlineLevel="0" collapsed="false">
      <c r="H96" s="0"/>
      <c r="I96" s="0"/>
      <c r="J96" s="0"/>
      <c r="K96" s="0"/>
      <c r="L96" s="0"/>
      <c r="M96" s="0"/>
      <c r="N96" s="0"/>
      <c r="O96" s="0"/>
      <c r="P96" s="0"/>
      <c r="R96" s="0"/>
      <c r="S96" s="0"/>
      <c r="T96" s="0"/>
      <c r="U96" s="0"/>
      <c r="V96" s="0"/>
      <c r="W96" s="0"/>
      <c r="X96" s="0"/>
      <c r="Y96" s="0"/>
      <c r="Z96" s="0"/>
    </row>
    <row r="97" customFormat="false" ht="15" hidden="false" customHeight="false" outlineLevel="0" collapsed="false">
      <c r="H97" s="18" t="s">
        <v>821</v>
      </c>
      <c r="I97" s="0"/>
      <c r="J97" s="0"/>
      <c r="K97" s="0"/>
      <c r="L97" s="0"/>
      <c r="M97" s="0"/>
      <c r="N97" s="0"/>
      <c r="O97" s="0"/>
      <c r="P97" s="0"/>
      <c r="R97" s="0"/>
      <c r="S97" s="0"/>
      <c r="T97" s="0"/>
      <c r="U97" s="0"/>
      <c r="V97" s="0"/>
      <c r="W97" s="0"/>
      <c r="X97" s="0"/>
      <c r="Y97" s="0"/>
      <c r="Z97" s="0"/>
    </row>
    <row r="98" customFormat="false" ht="15" hidden="false" customHeight="false" outlineLevel="0" collapsed="false">
      <c r="H98" s="243" t="s">
        <v>798</v>
      </c>
      <c r="I98" s="244"/>
      <c r="J98" s="245" t="s">
        <v>749</v>
      </c>
      <c r="K98" s="245" t="s">
        <v>751</v>
      </c>
      <c r="L98" s="245" t="s">
        <v>747</v>
      </c>
      <c r="M98" s="245" t="s">
        <v>799</v>
      </c>
      <c r="N98" s="245" t="s">
        <v>800</v>
      </c>
      <c r="O98" s="245" t="s">
        <v>801</v>
      </c>
      <c r="P98" s="246" t="s">
        <v>802</v>
      </c>
      <c r="R98" s="243" t="s">
        <v>798</v>
      </c>
      <c r="S98" s="244"/>
      <c r="T98" s="245" t="s">
        <v>749</v>
      </c>
      <c r="U98" s="245" t="s">
        <v>751</v>
      </c>
      <c r="V98" s="245" t="s">
        <v>747</v>
      </c>
      <c r="W98" s="245" t="s">
        <v>799</v>
      </c>
      <c r="X98" s="245" t="s">
        <v>800</v>
      </c>
      <c r="Y98" s="245" t="s">
        <v>801</v>
      </c>
      <c r="Z98" s="246" t="s">
        <v>802</v>
      </c>
    </row>
    <row r="99" customFormat="false" ht="15" hidden="false" customHeight="false" outlineLevel="0" collapsed="false">
      <c r="H99" s="247" t="s">
        <v>803</v>
      </c>
      <c r="I99" s="248"/>
      <c r="J99" s="249" t="n">
        <v>1</v>
      </c>
      <c r="K99" s="250" t="n">
        <v>0</v>
      </c>
      <c r="L99" s="250" t="n">
        <v>0</v>
      </c>
      <c r="M99" s="250" t="n">
        <v>1</v>
      </c>
      <c r="N99" s="250" t="n">
        <v>1</v>
      </c>
      <c r="O99" s="250" t="n">
        <v>0</v>
      </c>
      <c r="P99" s="251" t="n">
        <v>1</v>
      </c>
      <c r="R99" s="247" t="s">
        <v>803</v>
      </c>
      <c r="S99" s="248"/>
      <c r="T99" s="252" t="n">
        <f aca="false">J99</f>
        <v>1</v>
      </c>
      <c r="U99" s="253" t="n">
        <f aca="false">K99</f>
        <v>0</v>
      </c>
      <c r="V99" s="253" t="n">
        <f aca="false">L99</f>
        <v>0</v>
      </c>
      <c r="W99" s="253" t="n">
        <f aca="false">M99</f>
        <v>1</v>
      </c>
      <c r="X99" s="253" t="n">
        <f aca="false">N99</f>
        <v>1</v>
      </c>
      <c r="Y99" s="253" t="n">
        <f aca="false">O99</f>
        <v>0</v>
      </c>
      <c r="Z99" s="254" t="n">
        <f aca="false">P99</f>
        <v>1</v>
      </c>
    </row>
    <row r="100" customFormat="false" ht="15" hidden="false" customHeight="false" outlineLevel="0" collapsed="false">
      <c r="H100" s="247" t="s">
        <v>804</v>
      </c>
      <c r="I100" s="248"/>
      <c r="J100" s="249" t="n">
        <v>0</v>
      </c>
      <c r="K100" s="250" t="n">
        <v>1</v>
      </c>
      <c r="L100" s="250" t="n">
        <v>0</v>
      </c>
      <c r="M100" s="250" t="n">
        <v>1</v>
      </c>
      <c r="N100" s="250" t="n">
        <v>0</v>
      </c>
      <c r="O100" s="250" t="n">
        <v>1</v>
      </c>
      <c r="P100" s="251" t="n">
        <v>1</v>
      </c>
      <c r="R100" s="247" t="s">
        <v>804</v>
      </c>
      <c r="S100" s="248"/>
      <c r="T100" s="249" t="n">
        <f aca="false">J100</f>
        <v>0</v>
      </c>
      <c r="U100" s="250" t="n">
        <f aca="false">K100</f>
        <v>1</v>
      </c>
      <c r="V100" s="250" t="n">
        <f aca="false">L100</f>
        <v>0</v>
      </c>
      <c r="W100" s="250" t="n">
        <f aca="false">M100</f>
        <v>1</v>
      </c>
      <c r="X100" s="250" t="n">
        <f aca="false">N100</f>
        <v>0</v>
      </c>
      <c r="Y100" s="250" t="n">
        <f aca="false">O100</f>
        <v>1</v>
      </c>
      <c r="Z100" s="251" t="n">
        <f aca="false">P100</f>
        <v>1</v>
      </c>
    </row>
    <row r="101" customFormat="false" ht="15" hidden="false" customHeight="false" outlineLevel="0" collapsed="false">
      <c r="H101" s="255" t="s">
        <v>805</v>
      </c>
      <c r="I101" s="256"/>
      <c r="J101" s="249" t="n">
        <v>0</v>
      </c>
      <c r="K101" s="250" t="n">
        <v>0</v>
      </c>
      <c r="L101" s="250" t="n">
        <v>1</v>
      </c>
      <c r="M101" s="250" t="n">
        <v>0</v>
      </c>
      <c r="N101" s="250" t="n">
        <v>1</v>
      </c>
      <c r="O101" s="250" t="n">
        <v>1</v>
      </c>
      <c r="P101" s="251" t="n">
        <v>1</v>
      </c>
      <c r="R101" s="255" t="s">
        <v>805</v>
      </c>
      <c r="S101" s="256"/>
      <c r="T101" s="249" t="n">
        <f aca="false">J101</f>
        <v>0</v>
      </c>
      <c r="U101" s="250" t="n">
        <f aca="false">K101</f>
        <v>0</v>
      </c>
      <c r="V101" s="250" t="n">
        <f aca="false">L101</f>
        <v>1</v>
      </c>
      <c r="W101" s="250" t="n">
        <f aca="false">M101</f>
        <v>0</v>
      </c>
      <c r="X101" s="250" t="n">
        <f aca="false">N101</f>
        <v>1</v>
      </c>
      <c r="Y101" s="250" t="n">
        <f aca="false">O101</f>
        <v>1</v>
      </c>
      <c r="Z101" s="251" t="n">
        <f aca="false">P101</f>
        <v>1</v>
      </c>
    </row>
    <row r="102" customFormat="false" ht="15" hidden="false" customHeight="false" outlineLevel="0" collapsed="false">
      <c r="H102" s="257" t="s">
        <v>758</v>
      </c>
      <c r="I102" s="258" t="s">
        <v>806</v>
      </c>
      <c r="J102" s="259"/>
      <c r="K102" s="259"/>
      <c r="L102" s="259"/>
      <c r="M102" s="259"/>
      <c r="N102" s="259"/>
      <c r="O102" s="259"/>
      <c r="P102" s="259"/>
      <c r="R102" s="257" t="s">
        <v>758</v>
      </c>
      <c r="S102" s="258" t="s">
        <v>806</v>
      </c>
      <c r="T102" s="259"/>
      <c r="U102" s="259"/>
      <c r="V102" s="259"/>
      <c r="W102" s="259"/>
      <c r="X102" s="259"/>
      <c r="Y102" s="259"/>
      <c r="Z102" s="259"/>
    </row>
    <row r="103" customFormat="false" ht="15" hidden="false" customHeight="false" outlineLevel="0" collapsed="false">
      <c r="H103" s="260" t="str">
        <f aca="false">"Baseline Facility ("&amp;ROUND(D100/1000,0)&amp;" kt/y)"</f>
        <v>Baseline Facility (0 kt/y)</v>
      </c>
      <c r="I103" s="261" t="n">
        <v>390100000</v>
      </c>
      <c r="J103" s="262" t="n">
        <v>1</v>
      </c>
      <c r="K103" s="262" t="n">
        <v>1</v>
      </c>
      <c r="L103" s="262" t="n">
        <v>1</v>
      </c>
      <c r="M103" s="262" t="n">
        <v>1</v>
      </c>
      <c r="N103" s="262" t="n">
        <v>1</v>
      </c>
      <c r="O103" s="262" t="n">
        <v>1</v>
      </c>
      <c r="P103" s="263" t="n">
        <v>1</v>
      </c>
      <c r="R103" s="260" t="str">
        <f aca="false">"Baseline Facility ("&amp;ROUND(D100/1000,0)&amp;" kt/y)"</f>
        <v>Baseline Facility (0 kt/y)</v>
      </c>
      <c r="S103" s="261" t="n">
        <f aca="false">I103</f>
        <v>390100000</v>
      </c>
      <c r="T103" s="262" t="n">
        <f aca="false">J103</f>
        <v>1</v>
      </c>
      <c r="U103" s="262" t="n">
        <f aca="false">K103</f>
        <v>1</v>
      </c>
      <c r="V103" s="262" t="n">
        <f aca="false">L103</f>
        <v>1</v>
      </c>
      <c r="W103" s="262" t="n">
        <f aca="false">M103</f>
        <v>1</v>
      </c>
      <c r="X103" s="262" t="n">
        <f aca="false">N103</f>
        <v>1</v>
      </c>
      <c r="Y103" s="262" t="n">
        <f aca="false">O103</f>
        <v>1</v>
      </c>
      <c r="Z103" s="262" t="n">
        <f aca="false">P103</f>
        <v>1</v>
      </c>
    </row>
    <row r="104" customFormat="false" ht="15" hidden="false" customHeight="false" outlineLevel="0" collapsed="false">
      <c r="H104" s="260" t="s">
        <v>807</v>
      </c>
      <c r="I104" s="261" t="n">
        <v>236691000</v>
      </c>
      <c r="J104" s="264" t="n">
        <f aca="false">IF(OR(J99=1,J101=1),1,0)</f>
        <v>1</v>
      </c>
      <c r="K104" s="264" t="n">
        <f aca="false">IF(OR(K99=1,K101=1),1,0)</f>
        <v>0</v>
      </c>
      <c r="L104" s="264" t="n">
        <f aca="false">IF(OR(L99=1,L101=1),1,0)</f>
        <v>1</v>
      </c>
      <c r="M104" s="264" t="n">
        <f aca="false">IF(OR(M99=1,M101=1),1,0)</f>
        <v>1</v>
      </c>
      <c r="N104" s="264" t="n">
        <f aca="false">IF(OR(N99=1,N101=1),1,0)</f>
        <v>1</v>
      </c>
      <c r="O104" s="264" t="n">
        <f aca="false">IF(OR(O99=1,O101=1),1,0)</f>
        <v>1</v>
      </c>
      <c r="P104" s="265" t="n">
        <f aca="false">IF(OR(P99=1,P101=1),1,0)</f>
        <v>1</v>
      </c>
      <c r="R104" s="260" t="s">
        <v>808</v>
      </c>
      <c r="S104" s="261" t="n">
        <f aca="false">I104</f>
        <v>236691000</v>
      </c>
      <c r="T104" s="262" t="n">
        <f aca="false">J104</f>
        <v>1</v>
      </c>
      <c r="U104" s="262" t="n">
        <f aca="false">K104</f>
        <v>0</v>
      </c>
      <c r="V104" s="262" t="n">
        <f aca="false">L104</f>
        <v>1</v>
      </c>
      <c r="W104" s="262" t="n">
        <f aca="false">M104</f>
        <v>1</v>
      </c>
      <c r="X104" s="262" t="n">
        <f aca="false">N104</f>
        <v>1</v>
      </c>
      <c r="Y104" s="262" t="n">
        <f aca="false">O104</f>
        <v>1</v>
      </c>
      <c r="Z104" s="262" t="n">
        <f aca="false">P104</f>
        <v>1</v>
      </c>
    </row>
    <row r="105" customFormat="false" ht="15" hidden="false" customHeight="false" outlineLevel="0" collapsed="false">
      <c r="H105" s="260" t="s">
        <v>748</v>
      </c>
      <c r="I105" s="261" t="e">
        <f aca="false">SUM(G42)*1000000</f>
        <v>#REF!</v>
      </c>
      <c r="J105" s="264" t="n">
        <f aca="false">IF(J101=1,1,0)</f>
        <v>0</v>
      </c>
      <c r="K105" s="264" t="n">
        <f aca="false">IF(K101=1,1,0)</f>
        <v>0</v>
      </c>
      <c r="L105" s="264" t="n">
        <f aca="false">IF(L101=1,1,0)</f>
        <v>1</v>
      </c>
      <c r="M105" s="264" t="n">
        <f aca="false">IF(M101=1,1,0)</f>
        <v>0</v>
      </c>
      <c r="N105" s="264" t="n">
        <f aca="false">IF(N101=1,1,0)</f>
        <v>1</v>
      </c>
      <c r="O105" s="264" t="n">
        <f aca="false">IF(O101=1,1,0)</f>
        <v>1</v>
      </c>
      <c r="P105" s="265" t="n">
        <f aca="false">IF(P101=1,1,0)</f>
        <v>1</v>
      </c>
      <c r="R105" s="260" t="s">
        <v>748</v>
      </c>
      <c r="S105" s="261" t="e">
        <f aca="false">I105</f>
        <v>#REF!</v>
      </c>
      <c r="T105" s="262" t="n">
        <f aca="false">J105</f>
        <v>0</v>
      </c>
      <c r="U105" s="262" t="n">
        <f aca="false">K105</f>
        <v>0</v>
      </c>
      <c r="V105" s="262" t="n">
        <f aca="false">L105</f>
        <v>1</v>
      </c>
      <c r="W105" s="262" t="n">
        <f aca="false">M105</f>
        <v>0</v>
      </c>
      <c r="X105" s="262" t="n">
        <f aca="false">N105</f>
        <v>1</v>
      </c>
      <c r="Y105" s="262" t="n">
        <f aca="false">O105</f>
        <v>1</v>
      </c>
      <c r="Z105" s="262" t="n">
        <f aca="false">P105</f>
        <v>1</v>
      </c>
    </row>
    <row r="106" customFormat="false" ht="15" hidden="false" customHeight="false" outlineLevel="0" collapsed="false">
      <c r="H106" s="260" t="s">
        <v>764</v>
      </c>
      <c r="I106" s="261" t="e">
        <f aca="false">SUM(G44:G46)*1000000</f>
        <v>#REF!</v>
      </c>
      <c r="J106" s="264" t="n">
        <f aca="false">IF(J100=1,1,0)</f>
        <v>0</v>
      </c>
      <c r="K106" s="264" t="n">
        <f aca="false">IF(K100=1,1,0)</f>
        <v>1</v>
      </c>
      <c r="L106" s="264" t="n">
        <f aca="false">IF(L100=1,1,0)</f>
        <v>0</v>
      </c>
      <c r="M106" s="264" t="n">
        <f aca="false">IF(M100=1,1,0)</f>
        <v>1</v>
      </c>
      <c r="N106" s="264" t="n">
        <f aca="false">IF(N100=1,1,0)</f>
        <v>0</v>
      </c>
      <c r="O106" s="264" t="n">
        <f aca="false">IF(O100=1,1,0)</f>
        <v>1</v>
      </c>
      <c r="P106" s="265" t="n">
        <f aca="false">IF(P100=1,1,0)</f>
        <v>1</v>
      </c>
      <c r="R106" s="260" t="s">
        <v>764</v>
      </c>
      <c r="S106" s="261" t="e">
        <f aca="false">I106</f>
        <v>#REF!</v>
      </c>
      <c r="T106" s="262" t="n">
        <f aca="false">J106</f>
        <v>0</v>
      </c>
      <c r="U106" s="262" t="n">
        <f aca="false">K106</f>
        <v>1</v>
      </c>
      <c r="V106" s="262" t="n">
        <f aca="false">L106</f>
        <v>0</v>
      </c>
      <c r="W106" s="262" t="n">
        <f aca="false">M106</f>
        <v>1</v>
      </c>
      <c r="X106" s="262" t="n">
        <f aca="false">N106</f>
        <v>0</v>
      </c>
      <c r="Y106" s="262" t="n">
        <f aca="false">O106</f>
        <v>1</v>
      </c>
      <c r="Z106" s="262" t="n">
        <f aca="false">P106</f>
        <v>1</v>
      </c>
    </row>
    <row r="107" customFormat="false" ht="15" hidden="false" customHeight="false" outlineLevel="0" collapsed="false">
      <c r="H107" s="260" t="s">
        <v>809</v>
      </c>
      <c r="I107" s="261" t="e">
        <f aca="false">G38*1000000</f>
        <v>#REF!</v>
      </c>
      <c r="J107" s="264" t="n">
        <f aca="false">IF(J99=1,1,0)</f>
        <v>1</v>
      </c>
      <c r="K107" s="264" t="n">
        <f aca="false">IF(K99=1,1,0)</f>
        <v>0</v>
      </c>
      <c r="L107" s="264" t="n">
        <f aca="false">IF(L99=1,1,0)</f>
        <v>0</v>
      </c>
      <c r="M107" s="264" t="n">
        <f aca="false">IF(M99=1,1,0)</f>
        <v>1</v>
      </c>
      <c r="N107" s="264" t="n">
        <f aca="false">IF(N99=1,1,0)</f>
        <v>1</v>
      </c>
      <c r="O107" s="264" t="n">
        <f aca="false">IF(O99=1,1,0)</f>
        <v>0</v>
      </c>
      <c r="P107" s="265" t="n">
        <f aca="false">IF(P99=1,1,0)</f>
        <v>1</v>
      </c>
      <c r="R107" s="260" t="s">
        <v>810</v>
      </c>
      <c r="S107" s="261" t="e">
        <f aca="false">I107</f>
        <v>#REF!</v>
      </c>
      <c r="T107" s="262" t="n">
        <f aca="false">J107</f>
        <v>1</v>
      </c>
      <c r="U107" s="262" t="n">
        <f aca="false">K107</f>
        <v>0</v>
      </c>
      <c r="V107" s="262" t="n">
        <f aca="false">L107</f>
        <v>0</v>
      </c>
      <c r="W107" s="262" t="n">
        <f aca="false">M107</f>
        <v>1</v>
      </c>
      <c r="X107" s="262" t="n">
        <f aca="false">N107</f>
        <v>1</v>
      </c>
      <c r="Y107" s="262" t="n">
        <f aca="false">O107</f>
        <v>0</v>
      </c>
      <c r="Z107" s="262" t="n">
        <f aca="false">P107</f>
        <v>1</v>
      </c>
    </row>
    <row r="108" customFormat="false" ht="15" hidden="false" customHeight="false" outlineLevel="0" collapsed="false">
      <c r="H108" s="260" t="s">
        <v>811</v>
      </c>
      <c r="I108" s="261" t="e">
        <f aca="false">K38*1000000</f>
        <v>#REF!</v>
      </c>
      <c r="J108" s="264" t="n">
        <f aca="false">IF(AND(J101=1,J99=0),1,0)</f>
        <v>0</v>
      </c>
      <c r="K108" s="264" t="n">
        <f aca="false">IF(AND(K101=1,K99=0),1,0)</f>
        <v>0</v>
      </c>
      <c r="L108" s="264" t="n">
        <f aca="false">IF(AND(L101=1,L99=0),1,0)</f>
        <v>1</v>
      </c>
      <c r="M108" s="264" t="n">
        <f aca="false">IF(AND(M101=1,M99=0),1,0)</f>
        <v>0</v>
      </c>
      <c r="N108" s="264" t="n">
        <f aca="false">IF(AND(N101=1,N99=0),1,0)</f>
        <v>0</v>
      </c>
      <c r="O108" s="264" t="n">
        <f aca="false">IF(AND(O101=1,O99=0),1,0)</f>
        <v>1</v>
      </c>
      <c r="P108" s="265" t="n">
        <f aca="false">IF(AND(P101=1,P99=0),1,0)</f>
        <v>0</v>
      </c>
      <c r="R108" s="260" t="s">
        <v>768</v>
      </c>
      <c r="S108" s="261" t="e">
        <f aca="false">I108</f>
        <v>#REF!</v>
      </c>
      <c r="T108" s="262" t="n">
        <f aca="false">J108</f>
        <v>0</v>
      </c>
      <c r="U108" s="262" t="n">
        <f aca="false">K108</f>
        <v>0</v>
      </c>
      <c r="V108" s="262" t="n">
        <f aca="false">L108</f>
        <v>1</v>
      </c>
      <c r="W108" s="262" t="n">
        <f aca="false">M108</f>
        <v>0</v>
      </c>
      <c r="X108" s="262" t="n">
        <f aca="false">N108</f>
        <v>0</v>
      </c>
      <c r="Y108" s="262" t="n">
        <f aca="false">O108</f>
        <v>1</v>
      </c>
      <c r="Z108" s="262" t="n">
        <f aca="false">P108</f>
        <v>0</v>
      </c>
    </row>
    <row r="109" customFormat="false" ht="15" hidden="false" customHeight="false" outlineLevel="0" collapsed="false">
      <c r="H109" s="260" t="s">
        <v>812</v>
      </c>
      <c r="I109" s="261" t="e">
        <f aca="false">G47*1000000</f>
        <v>#REF!</v>
      </c>
      <c r="J109" s="264" t="n">
        <f aca="false">IF(J100=1,1,0)</f>
        <v>0</v>
      </c>
      <c r="K109" s="264" t="n">
        <f aca="false">IF(K100=1,1,0)</f>
        <v>1</v>
      </c>
      <c r="L109" s="264" t="n">
        <f aca="false">IF(L100=1,1,0)</f>
        <v>0</v>
      </c>
      <c r="M109" s="264" t="n">
        <f aca="false">IF(M100=1,1,0)</f>
        <v>1</v>
      </c>
      <c r="N109" s="264" t="n">
        <f aca="false">IF(N100=1,1,0)</f>
        <v>0</v>
      </c>
      <c r="O109" s="264" t="n">
        <f aca="false">IF(O100=1,1,0)</f>
        <v>1</v>
      </c>
      <c r="P109" s="265" t="n">
        <f aca="false">IF(P100=1,1,0)</f>
        <v>1</v>
      </c>
      <c r="R109" s="260" t="s">
        <v>812</v>
      </c>
      <c r="S109" s="261" t="e">
        <f aca="false">I109</f>
        <v>#REF!</v>
      </c>
      <c r="T109" s="262" t="n">
        <f aca="false">J109</f>
        <v>0</v>
      </c>
      <c r="U109" s="262" t="n">
        <f aca="false">K109</f>
        <v>1</v>
      </c>
      <c r="V109" s="262" t="n">
        <f aca="false">L109</f>
        <v>0</v>
      </c>
      <c r="W109" s="262" t="n">
        <f aca="false">M109</f>
        <v>1</v>
      </c>
      <c r="X109" s="262" t="n">
        <f aca="false">N109</f>
        <v>0</v>
      </c>
      <c r="Y109" s="262" t="n">
        <f aca="false">O109</f>
        <v>1</v>
      </c>
      <c r="Z109" s="262" t="n">
        <f aca="false">P109</f>
        <v>1</v>
      </c>
    </row>
    <row r="110" customFormat="false" ht="15" hidden="false" customHeight="false" outlineLevel="0" collapsed="false">
      <c r="H110" s="260" t="s">
        <v>813</v>
      </c>
      <c r="I110" s="261" t="e">
        <f aca="false">K47*1000000</f>
        <v>#REF!</v>
      </c>
      <c r="J110" s="266" t="n">
        <f aca="false">IF(AND(J101=1,J100=0),1,0)</f>
        <v>0</v>
      </c>
      <c r="K110" s="266" t="n">
        <f aca="false">IF(AND(K101=1,K100=0),1,0)</f>
        <v>0</v>
      </c>
      <c r="L110" s="266" t="n">
        <f aca="false">IF(AND(L101=1,L100=0),1,0)</f>
        <v>1</v>
      </c>
      <c r="M110" s="266" t="n">
        <f aca="false">IF(AND(M101=1,M100=0),1,0)</f>
        <v>0</v>
      </c>
      <c r="N110" s="266" t="n">
        <f aca="false">IF(AND(N101=1,N100=0),1,0)</f>
        <v>1</v>
      </c>
      <c r="O110" s="266" t="n">
        <f aca="false">IF(AND(O101=1,O100=0),1,0)</f>
        <v>0</v>
      </c>
      <c r="P110" s="266" t="n">
        <f aca="false">IF(AND(P101=1,P100=0),1,0)</f>
        <v>0</v>
      </c>
      <c r="R110" s="260" t="s">
        <v>813</v>
      </c>
      <c r="S110" s="261" t="e">
        <f aca="false">I110</f>
        <v>#REF!</v>
      </c>
      <c r="T110" s="267" t="n">
        <f aca="false">J110</f>
        <v>0</v>
      </c>
      <c r="U110" s="267" t="n">
        <f aca="false">K110</f>
        <v>0</v>
      </c>
      <c r="V110" s="267" t="n">
        <f aca="false">L110</f>
        <v>1</v>
      </c>
      <c r="W110" s="267" t="n">
        <f aca="false">M110</f>
        <v>0</v>
      </c>
      <c r="X110" s="267" t="n">
        <f aca="false">N110</f>
        <v>1</v>
      </c>
      <c r="Y110" s="267" t="n">
        <f aca="false">O110</f>
        <v>0</v>
      </c>
      <c r="Z110" s="267" t="n">
        <f aca="false">P110</f>
        <v>0</v>
      </c>
    </row>
    <row r="111" customFormat="false" ht="15" hidden="false" customHeight="false" outlineLevel="0" collapsed="false">
      <c r="H111" s="268" t="s">
        <v>12</v>
      </c>
      <c r="I111" s="269" t="n">
        <v>22800000</v>
      </c>
      <c r="J111" s="270" t="n">
        <v>1</v>
      </c>
      <c r="K111" s="270" t="n">
        <v>1</v>
      </c>
      <c r="L111" s="270" t="n">
        <v>1</v>
      </c>
      <c r="M111" s="270" t="n">
        <v>1</v>
      </c>
      <c r="N111" s="270" t="n">
        <v>1</v>
      </c>
      <c r="O111" s="270" t="n">
        <v>1</v>
      </c>
      <c r="P111" s="271" t="n">
        <v>1</v>
      </c>
      <c r="R111" s="268" t="s">
        <v>12</v>
      </c>
      <c r="S111" s="269" t="n">
        <v>22800000</v>
      </c>
      <c r="T111" s="270" t="n">
        <f aca="false">J111</f>
        <v>1</v>
      </c>
      <c r="U111" s="270" t="n">
        <f aca="false">K111</f>
        <v>1</v>
      </c>
      <c r="V111" s="270" t="n">
        <f aca="false">L111</f>
        <v>1</v>
      </c>
      <c r="W111" s="270" t="n">
        <f aca="false">M111</f>
        <v>1</v>
      </c>
      <c r="X111" s="270" t="n">
        <f aca="false">N111</f>
        <v>1</v>
      </c>
      <c r="Y111" s="270" t="n">
        <f aca="false">O111</f>
        <v>1</v>
      </c>
      <c r="Z111" s="270" t="n">
        <f aca="false">P111</f>
        <v>1</v>
      </c>
    </row>
    <row r="112" customFormat="false" ht="15" hidden="false" customHeight="false" outlineLevel="0" collapsed="false">
      <c r="H112" s="272" t="s">
        <v>814</v>
      </c>
      <c r="I112" s="273" t="n">
        <v>0.05</v>
      </c>
      <c r="J112" s="264" t="n">
        <v>1</v>
      </c>
      <c r="K112" s="264" t="n">
        <v>1</v>
      </c>
      <c r="L112" s="264" t="n">
        <v>1</v>
      </c>
      <c r="M112" s="264" t="n">
        <v>1</v>
      </c>
      <c r="N112" s="264" t="n">
        <v>1</v>
      </c>
      <c r="O112" s="264" t="n">
        <v>1</v>
      </c>
      <c r="P112" s="265" t="n">
        <v>1</v>
      </c>
      <c r="R112" s="272" t="s">
        <v>814</v>
      </c>
      <c r="S112" s="273" t="n">
        <f aca="false">I112</f>
        <v>0.05</v>
      </c>
      <c r="T112" s="262" t="n">
        <f aca="false">J112</f>
        <v>1</v>
      </c>
      <c r="U112" s="262" t="n">
        <f aca="false">K112</f>
        <v>1</v>
      </c>
      <c r="V112" s="262" t="n">
        <f aca="false">L112</f>
        <v>1</v>
      </c>
      <c r="W112" s="262" t="n">
        <f aca="false">M112</f>
        <v>1</v>
      </c>
      <c r="X112" s="262" t="n">
        <f aca="false">N112</f>
        <v>1</v>
      </c>
      <c r="Y112" s="262" t="n">
        <f aca="false">O112</f>
        <v>1</v>
      </c>
      <c r="Z112" s="262" t="n">
        <f aca="false">P112</f>
        <v>1</v>
      </c>
    </row>
    <row r="113" customFormat="false" ht="15" hidden="false" customHeight="false" outlineLevel="0" collapsed="false">
      <c r="I113" s="274" t="s">
        <v>815</v>
      </c>
      <c r="J113" s="225" t="e">
        <f aca="false">SUMPRODUCT(J103:J110,$I$103:$I$110)</f>
        <v>#REF!</v>
      </c>
      <c r="K113" s="225" t="e">
        <f aca="false">SUMPRODUCT(K103:K110,$I$103:$I$110)</f>
        <v>#REF!</v>
      </c>
      <c r="L113" s="225" t="e">
        <f aca="false">SUMPRODUCT(L103:L110,$I$103:$I$110)</f>
        <v>#REF!</v>
      </c>
      <c r="M113" s="225" t="e">
        <f aca="false">SUMPRODUCT(M103:M110,$I$103:$I$110)</f>
        <v>#REF!</v>
      </c>
      <c r="N113" s="225" t="e">
        <f aca="false">SUMPRODUCT(N103:N110,$I$103:$I$110)</f>
        <v>#REF!</v>
      </c>
      <c r="O113" s="225" t="e">
        <f aca="false">SUMPRODUCT(O103:O110,$I$103:$I$110)</f>
        <v>#REF!</v>
      </c>
      <c r="P113" s="225" t="e">
        <f aca="false">SUMPRODUCT(P103:P110,$I$103:$I$110)</f>
        <v>#REF!</v>
      </c>
      <c r="S113" s="274" t="s">
        <v>816</v>
      </c>
      <c r="T113" s="225" t="e">
        <f aca="false">J113/1000000</f>
        <v>#REF!</v>
      </c>
      <c r="U113" s="225" t="e">
        <f aca="false">K113/1000000</f>
        <v>#REF!</v>
      </c>
      <c r="V113" s="225" t="e">
        <f aca="false">L113/1000000</f>
        <v>#REF!</v>
      </c>
      <c r="W113" s="225" t="e">
        <f aca="false">M113/1000000</f>
        <v>#REF!</v>
      </c>
      <c r="X113" s="225" t="e">
        <f aca="false">N113/1000000</f>
        <v>#REF!</v>
      </c>
      <c r="Y113" s="225" t="e">
        <f aca="false">O113/1000000</f>
        <v>#REF!</v>
      </c>
      <c r="Z113" s="225" t="e">
        <f aca="false">P113/1000000</f>
        <v>#REF!</v>
      </c>
    </row>
    <row r="114" customFormat="false" ht="15" hidden="false" customHeight="false" outlineLevel="0" collapsed="false">
      <c r="I114" s="274" t="s">
        <v>817</v>
      </c>
      <c r="J114" s="230" t="e">
        <f aca="false">J113+$I$111+$I$112*J113</f>
        <v>#REF!</v>
      </c>
      <c r="K114" s="230" t="e">
        <f aca="false">K113+$I$111+$I$112*K113</f>
        <v>#REF!</v>
      </c>
      <c r="L114" s="230" t="e">
        <f aca="false">L113+$I$111+$I$112*L113</f>
        <v>#REF!</v>
      </c>
      <c r="M114" s="230" t="e">
        <f aca="false">M113+$I$111+$I$112*M113</f>
        <v>#REF!</v>
      </c>
      <c r="N114" s="230" t="e">
        <f aca="false">N113+$I$111+$I$112*N113</f>
        <v>#REF!</v>
      </c>
      <c r="O114" s="230" t="e">
        <f aca="false">O113+$I$111+$I$112*O113</f>
        <v>#REF!</v>
      </c>
      <c r="P114" s="230" t="e">
        <f aca="false">P113+$I$111+$I$112*P113</f>
        <v>#REF!</v>
      </c>
      <c r="S114" s="274" t="s">
        <v>818</v>
      </c>
      <c r="T114" s="225" t="e">
        <f aca="false">J114/1000000</f>
        <v>#REF!</v>
      </c>
      <c r="U114" s="225" t="e">
        <f aca="false">K114/1000000</f>
        <v>#REF!</v>
      </c>
      <c r="V114" s="225" t="e">
        <f aca="false">L114/1000000</f>
        <v>#REF!</v>
      </c>
      <c r="W114" s="225" t="e">
        <f aca="false">M114/1000000</f>
        <v>#REF!</v>
      </c>
      <c r="X114" s="225" t="e">
        <f aca="false">N114/1000000</f>
        <v>#REF!</v>
      </c>
      <c r="Y114" s="225" t="e">
        <f aca="false">O114/1000000</f>
        <v>#REF!</v>
      </c>
      <c r="Z114" s="225" t="e">
        <f aca="false">P114/1000000</f>
        <v>#REF!</v>
      </c>
    </row>
    <row r="115" customFormat="false" ht="15" hidden="false" customHeight="false" outlineLevel="0" collapsed="false">
      <c r="I115" s="274" t="s">
        <v>819</v>
      </c>
      <c r="J115" s="225" t="e">
        <f aca="false">J113/$D$6</f>
        <v>#REF!</v>
      </c>
      <c r="K115" s="225" t="e">
        <f aca="false">K113/$D$6</f>
        <v>#REF!</v>
      </c>
      <c r="L115" s="225" t="e">
        <f aca="false">L113/$D$6</f>
        <v>#REF!</v>
      </c>
      <c r="M115" s="225" t="e">
        <f aca="false">M113/$D$6</f>
        <v>#REF!</v>
      </c>
      <c r="N115" s="225" t="e">
        <f aca="false">N113/$D$6</f>
        <v>#REF!</v>
      </c>
      <c r="O115" s="225" t="e">
        <f aca="false">O113/$D$6</f>
        <v>#REF!</v>
      </c>
      <c r="P115" s="225" t="e">
        <f aca="false">P113/$D$6</f>
        <v>#REF!</v>
      </c>
      <c r="S115" s="274" t="s">
        <v>819</v>
      </c>
      <c r="T115" s="225" t="e">
        <f aca="false">J115</f>
        <v>#REF!</v>
      </c>
      <c r="U115" s="225" t="e">
        <f aca="false">K115</f>
        <v>#REF!</v>
      </c>
      <c r="V115" s="225" t="e">
        <f aca="false">L115</f>
        <v>#REF!</v>
      </c>
      <c r="W115" s="225" t="e">
        <f aca="false">M115</f>
        <v>#REF!</v>
      </c>
      <c r="X115" s="225" t="e">
        <f aca="false">N115</f>
        <v>#REF!</v>
      </c>
      <c r="Y115" s="225" t="e">
        <f aca="false">O115</f>
        <v>#REF!</v>
      </c>
      <c r="Z115" s="225" t="e">
        <f aca="false">P115</f>
        <v>#REF!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57:AC68 A1"/>
    </sheetView>
  </sheetViews>
  <sheetFormatPr defaultRowHeight="15"/>
  <cols>
    <col collapsed="false" hidden="false" max="1025" min="1" style="18" width="8.63775510204082"/>
  </cols>
  <sheetData>
    <row r="1" customFormat="false" ht="15" hidden="false" customHeight="false" outlineLevel="0" collapsed="false">
      <c r="A1" s="180" t="s">
        <v>822</v>
      </c>
      <c r="B1" s="0"/>
      <c r="C1" s="0"/>
      <c r="D1" s="0"/>
      <c r="E1" s="18" t="s">
        <v>823</v>
      </c>
      <c r="F1" s="235" t="s">
        <v>824</v>
      </c>
      <c r="G1" s="0"/>
      <c r="H1" s="0"/>
      <c r="I1" s="0"/>
      <c r="J1" s="275" t="s">
        <v>749</v>
      </c>
      <c r="K1" s="0"/>
      <c r="L1" s="0"/>
      <c r="M1" s="0"/>
      <c r="N1" s="275" t="s">
        <v>751</v>
      </c>
      <c r="O1" s="0"/>
      <c r="P1" s="0"/>
      <c r="Q1" s="0"/>
      <c r="R1" s="275" t="s">
        <v>747</v>
      </c>
      <c r="S1" s="0"/>
      <c r="T1" s="0"/>
      <c r="U1" s="0"/>
    </row>
    <row r="2" customFormat="false" ht="15" hidden="false" customHeight="false" outlineLevel="0" collapsed="false">
      <c r="A2" s="276" t="s">
        <v>825</v>
      </c>
      <c r="B2" s="277" t="n">
        <v>0.9</v>
      </c>
      <c r="C2" s="186"/>
      <c r="D2" s="186"/>
      <c r="E2" s="278" t="n">
        <v>0.03</v>
      </c>
      <c r="F2" s="216"/>
      <c r="G2" s="188"/>
      <c r="H2" s="186"/>
      <c r="I2" s="186" t="s">
        <v>826</v>
      </c>
      <c r="J2" s="186" t="n">
        <v>0.467532467532468</v>
      </c>
      <c r="K2" s="186" t="n">
        <v>1.13886113886114</v>
      </c>
      <c r="L2" s="186" t="n">
        <v>1.3986013986014</v>
      </c>
      <c r="M2" s="186" t="n">
        <v>0.995004995004995</v>
      </c>
      <c r="N2" s="186" t="n">
        <v>0.467532467532468</v>
      </c>
      <c r="O2" s="186" t="n">
        <v>1.13886113886114</v>
      </c>
      <c r="P2" s="186" t="n">
        <v>1.3986013986014</v>
      </c>
      <c r="Q2" s="186" t="n">
        <v>0.995004995004995</v>
      </c>
      <c r="R2" s="186" t="n">
        <v>0.467532467532468</v>
      </c>
      <c r="S2" s="186" t="n">
        <v>1.13886113886114</v>
      </c>
      <c r="T2" s="186" t="n">
        <v>1.3986013986014</v>
      </c>
      <c r="U2" s="186" t="n">
        <v>0.995004995004995</v>
      </c>
    </row>
    <row r="3" customFormat="false" ht="15" hidden="false" customHeight="false" outlineLevel="0" collapsed="false">
      <c r="A3" s="279" t="s">
        <v>827</v>
      </c>
      <c r="B3" s="188" t="s">
        <v>828</v>
      </c>
      <c r="C3" s="188" t="s">
        <v>829</v>
      </c>
      <c r="D3" s="280" t="s">
        <v>830</v>
      </c>
      <c r="E3" s="280" t="s">
        <v>831</v>
      </c>
      <c r="F3" s="188" t="s">
        <v>749</v>
      </c>
      <c r="G3" s="188" t="s">
        <v>751</v>
      </c>
      <c r="H3" s="188" t="s">
        <v>747</v>
      </c>
      <c r="I3" s="188" t="s">
        <v>832</v>
      </c>
      <c r="J3" s="279" t="s">
        <v>833</v>
      </c>
      <c r="K3" s="188" t="s">
        <v>834</v>
      </c>
      <c r="L3" s="188" t="s">
        <v>781</v>
      </c>
      <c r="M3" s="188" t="s">
        <v>835</v>
      </c>
      <c r="N3" s="279" t="s">
        <v>833</v>
      </c>
      <c r="O3" s="188" t="s">
        <v>834</v>
      </c>
      <c r="P3" s="188" t="s">
        <v>781</v>
      </c>
      <c r="Q3" s="188" t="s">
        <v>835</v>
      </c>
      <c r="R3" s="279" t="s">
        <v>833</v>
      </c>
      <c r="S3" s="188" t="s">
        <v>834</v>
      </c>
      <c r="T3" s="188" t="s">
        <v>781</v>
      </c>
      <c r="U3" s="188" t="s">
        <v>835</v>
      </c>
    </row>
    <row r="4" customFormat="false" ht="15" hidden="false" customHeight="false" outlineLevel="0" collapsed="false">
      <c r="A4" s="18" t="s">
        <v>836</v>
      </c>
      <c r="B4" s="18" t="s">
        <v>837</v>
      </c>
      <c r="C4" s="18" t="s">
        <v>838</v>
      </c>
      <c r="D4" s="281" t="n">
        <v>155400</v>
      </c>
      <c r="E4" s="281" t="n">
        <f aca="false">D4*(1.03)^5</f>
        <v>180151.19114622</v>
      </c>
      <c r="F4" s="18" t="n">
        <v>1</v>
      </c>
      <c r="G4" s="18" t="n">
        <v>1</v>
      </c>
      <c r="H4" s="18" t="n">
        <v>1</v>
      </c>
      <c r="I4" s="18" t="n">
        <v>1</v>
      </c>
      <c r="J4" s="235" t="n">
        <f aca="false">$F4</f>
        <v>1</v>
      </c>
      <c r="K4" s="18" t="n">
        <f aca="false">$F4</f>
        <v>1</v>
      </c>
      <c r="L4" s="18" t="n">
        <f aca="false">$F4</f>
        <v>1</v>
      </c>
      <c r="M4" s="18" t="n">
        <f aca="false">$F4</f>
        <v>1</v>
      </c>
      <c r="N4" s="235" t="n">
        <f aca="false">$F4</f>
        <v>1</v>
      </c>
      <c r="O4" s="18" t="n">
        <f aca="false">$F4</f>
        <v>1</v>
      </c>
      <c r="P4" s="18" t="n">
        <f aca="false">$F4</f>
        <v>1</v>
      </c>
      <c r="Q4" s="18" t="n">
        <f aca="false">$F4</f>
        <v>1</v>
      </c>
      <c r="R4" s="235" t="n">
        <f aca="false">$F4</f>
        <v>1</v>
      </c>
      <c r="S4" s="18" t="n">
        <f aca="false">$F4</f>
        <v>1</v>
      </c>
      <c r="T4" s="18" t="n">
        <f aca="false">$F4</f>
        <v>1</v>
      </c>
      <c r="U4" s="282" t="n">
        <f aca="false">$F4</f>
        <v>1</v>
      </c>
    </row>
    <row r="5" customFormat="false" ht="15" hidden="false" customHeight="false" outlineLevel="0" collapsed="false">
      <c r="A5" s="18" t="s">
        <v>839</v>
      </c>
      <c r="B5" s="18" t="s">
        <v>837</v>
      </c>
      <c r="C5" s="18" t="s">
        <v>838</v>
      </c>
      <c r="D5" s="281" t="n">
        <v>81935</v>
      </c>
      <c r="E5" s="281" t="n">
        <f aca="false">D5*(1.03)^5</f>
        <v>94985.1212777705</v>
      </c>
      <c r="F5" s="18" t="n">
        <v>2</v>
      </c>
      <c r="G5" s="18" t="n">
        <v>2</v>
      </c>
      <c r="H5" s="18" t="n">
        <v>2</v>
      </c>
      <c r="I5" s="18" t="n">
        <v>2</v>
      </c>
      <c r="J5" s="235" t="n">
        <f aca="false">$F5</f>
        <v>2</v>
      </c>
      <c r="K5" s="18" t="n">
        <f aca="false">$F5</f>
        <v>2</v>
      </c>
      <c r="L5" s="18" t="n">
        <f aca="false">$F5</f>
        <v>2</v>
      </c>
      <c r="M5" s="18" t="n">
        <f aca="false">$F5</f>
        <v>2</v>
      </c>
      <c r="N5" s="235" t="n">
        <f aca="false">$F5</f>
        <v>2</v>
      </c>
      <c r="O5" s="18" t="n">
        <f aca="false">$F5</f>
        <v>2</v>
      </c>
      <c r="P5" s="18" t="n">
        <f aca="false">$F5</f>
        <v>2</v>
      </c>
      <c r="Q5" s="18" t="n">
        <f aca="false">$F5</f>
        <v>2</v>
      </c>
      <c r="R5" s="235" t="n">
        <f aca="false">$F5</f>
        <v>2</v>
      </c>
      <c r="S5" s="18" t="n">
        <f aca="false">$F5</f>
        <v>2</v>
      </c>
      <c r="T5" s="18" t="n">
        <f aca="false">$F5</f>
        <v>2</v>
      </c>
      <c r="U5" s="283" t="n">
        <f aca="false">$F5</f>
        <v>2</v>
      </c>
    </row>
    <row r="6" customFormat="false" ht="15" hidden="false" customHeight="false" outlineLevel="0" collapsed="false">
      <c r="A6" s="18" t="s">
        <v>840</v>
      </c>
      <c r="B6" s="18" t="s">
        <v>837</v>
      </c>
      <c r="C6" s="18" t="s">
        <v>838</v>
      </c>
      <c r="D6" s="281" t="n">
        <v>83244</v>
      </c>
      <c r="E6" s="281" t="n">
        <f aca="false">D6*(1.03)^5</f>
        <v>96502.6110410292</v>
      </c>
      <c r="F6" s="18" t="n">
        <v>2</v>
      </c>
      <c r="G6" s="18" t="n">
        <v>2</v>
      </c>
      <c r="H6" s="18" t="n">
        <v>2</v>
      </c>
      <c r="I6" s="18" t="n">
        <v>2</v>
      </c>
      <c r="J6" s="235" t="n">
        <f aca="false">$F6</f>
        <v>2</v>
      </c>
      <c r="K6" s="18" t="n">
        <f aca="false">$F6</f>
        <v>2</v>
      </c>
      <c r="L6" s="18" t="n">
        <f aca="false">$F6</f>
        <v>2</v>
      </c>
      <c r="M6" s="18" t="n">
        <f aca="false">$F6</f>
        <v>2</v>
      </c>
      <c r="N6" s="235" t="n">
        <f aca="false">$F6</f>
        <v>2</v>
      </c>
      <c r="O6" s="18" t="n">
        <f aca="false">$F6</f>
        <v>2</v>
      </c>
      <c r="P6" s="18" t="n">
        <f aca="false">$F6</f>
        <v>2</v>
      </c>
      <c r="Q6" s="18" t="n">
        <f aca="false">$F6</f>
        <v>2</v>
      </c>
      <c r="R6" s="235" t="n">
        <f aca="false">$F6</f>
        <v>2</v>
      </c>
      <c r="S6" s="18" t="n">
        <f aca="false">$F6</f>
        <v>2</v>
      </c>
      <c r="T6" s="18" t="n">
        <f aca="false">$F6</f>
        <v>2</v>
      </c>
      <c r="U6" s="283" t="n">
        <f aca="false">$F6</f>
        <v>2</v>
      </c>
    </row>
    <row r="7" customFormat="false" ht="15" hidden="false" customHeight="false" outlineLevel="0" collapsed="false">
      <c r="A7" s="18" t="s">
        <v>841</v>
      </c>
      <c r="B7" s="18" t="s">
        <v>837</v>
      </c>
      <c r="C7" s="18" t="s">
        <v>838</v>
      </c>
      <c r="D7" s="281" t="n">
        <v>60257</v>
      </c>
      <c r="E7" s="281" t="n">
        <f aca="false">D7*(1.03)^5</f>
        <v>69854.3778950951</v>
      </c>
      <c r="F7" s="18" t="n">
        <v>1</v>
      </c>
      <c r="G7" s="18" t="n">
        <v>1</v>
      </c>
      <c r="H7" s="18" t="n">
        <v>1</v>
      </c>
      <c r="I7" s="18" t="n">
        <v>1</v>
      </c>
      <c r="J7" s="235" t="n">
        <f aca="false">$F7</f>
        <v>1</v>
      </c>
      <c r="K7" s="18" t="n">
        <f aca="false">$F7</f>
        <v>1</v>
      </c>
      <c r="L7" s="18" t="n">
        <f aca="false">$F7</f>
        <v>1</v>
      </c>
      <c r="M7" s="18" t="n">
        <f aca="false">$F7</f>
        <v>1</v>
      </c>
      <c r="N7" s="235" t="n">
        <f aca="false">$F7</f>
        <v>1</v>
      </c>
      <c r="O7" s="18" t="n">
        <f aca="false">$F7</f>
        <v>1</v>
      </c>
      <c r="P7" s="18" t="n">
        <f aca="false">$F7</f>
        <v>1</v>
      </c>
      <c r="Q7" s="18" t="n">
        <f aca="false">$F7</f>
        <v>1</v>
      </c>
      <c r="R7" s="235" t="n">
        <f aca="false">$F7</f>
        <v>1</v>
      </c>
      <c r="S7" s="18" t="n">
        <f aca="false">$F7</f>
        <v>1</v>
      </c>
      <c r="T7" s="18" t="n">
        <f aca="false">$F7</f>
        <v>1</v>
      </c>
      <c r="U7" s="283" t="n">
        <f aca="false">$F7</f>
        <v>1</v>
      </c>
    </row>
    <row r="8" customFormat="false" ht="15" hidden="false" customHeight="false" outlineLevel="0" collapsed="false">
      <c r="A8" s="18" t="s">
        <v>842</v>
      </c>
      <c r="B8" s="18" t="s">
        <v>837</v>
      </c>
      <c r="C8" s="18" t="s">
        <v>838</v>
      </c>
      <c r="D8" s="281" t="n">
        <v>42286</v>
      </c>
      <c r="E8" s="281" t="n">
        <f aca="false">D8*(1.03)^5</f>
        <v>49021.0635058498</v>
      </c>
      <c r="F8" s="18" t="n">
        <v>12</v>
      </c>
      <c r="G8" s="18" t="n">
        <v>12</v>
      </c>
      <c r="H8" s="18" t="n">
        <v>12</v>
      </c>
      <c r="I8" s="18" t="n">
        <v>12</v>
      </c>
      <c r="J8" s="235" t="n">
        <f aca="false">$F8</f>
        <v>12</v>
      </c>
      <c r="K8" s="18" t="n">
        <f aca="false">$F8</f>
        <v>12</v>
      </c>
      <c r="L8" s="18" t="n">
        <f aca="false">$F8</f>
        <v>12</v>
      </c>
      <c r="M8" s="18" t="n">
        <f aca="false">$F8</f>
        <v>12</v>
      </c>
      <c r="N8" s="235" t="n">
        <f aca="false">$F8</f>
        <v>12</v>
      </c>
      <c r="O8" s="18" t="n">
        <f aca="false">$F8</f>
        <v>12</v>
      </c>
      <c r="P8" s="18" t="n">
        <f aca="false">$F8</f>
        <v>12</v>
      </c>
      <c r="Q8" s="18" t="n">
        <f aca="false">$F8</f>
        <v>12</v>
      </c>
      <c r="R8" s="235" t="n">
        <f aca="false">$F8</f>
        <v>12</v>
      </c>
      <c r="S8" s="18" t="n">
        <f aca="false">$F8</f>
        <v>12</v>
      </c>
      <c r="T8" s="18" t="n">
        <f aca="false">$F8</f>
        <v>12</v>
      </c>
      <c r="U8" s="283" t="n">
        <f aca="false">$F8</f>
        <v>12</v>
      </c>
    </row>
    <row r="9" customFormat="false" ht="15" hidden="false" customHeight="false" outlineLevel="0" collapsed="false">
      <c r="A9" s="18" t="s">
        <v>843</v>
      </c>
      <c r="B9" s="18" t="s">
        <v>837</v>
      </c>
      <c r="C9" s="18" t="s">
        <v>838</v>
      </c>
      <c r="D9" s="281" t="n">
        <v>59200</v>
      </c>
      <c r="E9" s="281" t="n">
        <f aca="false">D9*(1.03)^5</f>
        <v>68629.02519856</v>
      </c>
      <c r="F9" s="18" t="n">
        <v>1</v>
      </c>
      <c r="G9" s="18" t="n">
        <v>1</v>
      </c>
      <c r="H9" s="18" t="n">
        <v>1</v>
      </c>
      <c r="I9" s="18" t="n">
        <v>1</v>
      </c>
      <c r="J9" s="235" t="n">
        <f aca="false">$F9</f>
        <v>1</v>
      </c>
      <c r="K9" s="18" t="n">
        <f aca="false">$F9</f>
        <v>1</v>
      </c>
      <c r="L9" s="18" t="n">
        <f aca="false">$F9</f>
        <v>1</v>
      </c>
      <c r="M9" s="18" t="n">
        <f aca="false">$F9</f>
        <v>1</v>
      </c>
      <c r="N9" s="235" t="n">
        <f aca="false">$F9</f>
        <v>1</v>
      </c>
      <c r="O9" s="18" t="n">
        <f aca="false">$F9</f>
        <v>1</v>
      </c>
      <c r="P9" s="18" t="n">
        <f aca="false">$F9</f>
        <v>1</v>
      </c>
      <c r="Q9" s="18" t="n">
        <f aca="false">$F9</f>
        <v>1</v>
      </c>
      <c r="R9" s="235" t="n">
        <f aca="false">$F9</f>
        <v>1</v>
      </c>
      <c r="S9" s="18" t="n">
        <f aca="false">$F9</f>
        <v>1</v>
      </c>
      <c r="T9" s="18" t="n">
        <f aca="false">$F9</f>
        <v>1</v>
      </c>
      <c r="U9" s="283" t="n">
        <f aca="false">$F9</f>
        <v>1</v>
      </c>
    </row>
    <row r="10" customFormat="false" ht="15" hidden="false" customHeight="false" outlineLevel="0" collapsed="false">
      <c r="A10" s="18" t="s">
        <v>844</v>
      </c>
      <c r="B10" s="18" t="s">
        <v>837</v>
      </c>
      <c r="C10" s="18" t="s">
        <v>838</v>
      </c>
      <c r="D10" s="281" t="n">
        <v>42286</v>
      </c>
      <c r="E10" s="281" t="n">
        <f aca="false">D10*(1.03)^5</f>
        <v>49021.0635058498</v>
      </c>
      <c r="F10" s="18" t="n">
        <v>1</v>
      </c>
      <c r="G10" s="18" t="n">
        <v>1</v>
      </c>
      <c r="H10" s="18" t="n">
        <v>1</v>
      </c>
      <c r="I10" s="18" t="n">
        <v>1</v>
      </c>
      <c r="J10" s="235" t="n">
        <f aca="false">$F10</f>
        <v>1</v>
      </c>
      <c r="K10" s="18" t="n">
        <f aca="false">$F10</f>
        <v>1</v>
      </c>
      <c r="L10" s="18" t="n">
        <f aca="false">$F10</f>
        <v>1</v>
      </c>
      <c r="M10" s="18" t="n">
        <f aca="false">$F10</f>
        <v>1</v>
      </c>
      <c r="N10" s="235" t="n">
        <f aca="false">$F10</f>
        <v>1</v>
      </c>
      <c r="O10" s="18" t="n">
        <f aca="false">$F10</f>
        <v>1</v>
      </c>
      <c r="P10" s="18" t="n">
        <f aca="false">$F10</f>
        <v>1</v>
      </c>
      <c r="Q10" s="283" t="n">
        <f aca="false">$F10</f>
        <v>1</v>
      </c>
      <c r="R10" s="180" t="n">
        <f aca="false">$F10</f>
        <v>1</v>
      </c>
      <c r="S10" s="18" t="n">
        <f aca="false">$F10</f>
        <v>1</v>
      </c>
      <c r="T10" s="18" t="n">
        <f aca="false">$F10</f>
        <v>1</v>
      </c>
      <c r="U10" s="283" t="n">
        <f aca="false">$F10</f>
        <v>1</v>
      </c>
    </row>
    <row r="11" customFormat="false" ht="15" hidden="false" customHeight="false" outlineLevel="0" collapsed="false">
      <c r="A11" s="18" t="s">
        <v>845</v>
      </c>
      <c r="B11" s="18" t="s">
        <v>846</v>
      </c>
      <c r="C11" s="18" t="s">
        <v>838</v>
      </c>
      <c r="D11" s="281" t="n">
        <v>50743</v>
      </c>
      <c r="E11" s="281" t="n">
        <f aca="false">D11*(1.03)^5</f>
        <v>58825.0443522049</v>
      </c>
      <c r="F11" s="18" t="n">
        <v>0</v>
      </c>
      <c r="G11" s="18" t="n">
        <v>0</v>
      </c>
      <c r="H11" s="18" t="n">
        <v>0</v>
      </c>
      <c r="I11" s="18" t="n">
        <v>0</v>
      </c>
      <c r="J11" s="235" t="n">
        <f aca="false">$F11</f>
        <v>0</v>
      </c>
      <c r="K11" s="18" t="n">
        <f aca="false">$F11</f>
        <v>0</v>
      </c>
      <c r="L11" s="18" t="n">
        <f aca="false">$F11</f>
        <v>0</v>
      </c>
      <c r="M11" s="283" t="n">
        <f aca="false">$F11</f>
        <v>0</v>
      </c>
      <c r="N11" s="180" t="n">
        <f aca="false">$F11</f>
        <v>0</v>
      </c>
      <c r="O11" s="18" t="n">
        <f aca="false">$F11</f>
        <v>0</v>
      </c>
      <c r="P11" s="18" t="n">
        <f aca="false">$F11</f>
        <v>0</v>
      </c>
      <c r="Q11" s="283" t="n">
        <f aca="false">$F11</f>
        <v>0</v>
      </c>
      <c r="R11" s="180" t="n">
        <f aca="false">$F11</f>
        <v>0</v>
      </c>
      <c r="S11" s="18" t="n">
        <f aca="false">$F11</f>
        <v>0</v>
      </c>
      <c r="T11" s="18" t="n">
        <f aca="false">$F11</f>
        <v>0</v>
      </c>
      <c r="U11" s="283" t="n">
        <f aca="false">$F11</f>
        <v>0</v>
      </c>
    </row>
    <row r="12" customFormat="false" ht="15" hidden="false" customHeight="false" outlineLevel="0" collapsed="false">
      <c r="A12" s="18" t="s">
        <v>847</v>
      </c>
      <c r="B12" s="18" t="s">
        <v>846</v>
      </c>
      <c r="C12" s="18" t="s">
        <v>838</v>
      </c>
      <c r="D12" s="281" t="n">
        <v>26872</v>
      </c>
      <c r="E12" s="281" t="n">
        <f aca="false">D12*(1.03)^5</f>
        <v>31152.0129245896</v>
      </c>
      <c r="F12" s="18" t="n">
        <v>0</v>
      </c>
      <c r="G12" s="18" t="n">
        <v>0</v>
      </c>
      <c r="H12" s="18" t="n">
        <v>0</v>
      </c>
      <c r="I12" s="18" t="n">
        <v>0</v>
      </c>
      <c r="J12" s="235" t="n">
        <f aca="false">$F12</f>
        <v>0</v>
      </c>
      <c r="K12" s="18" t="n">
        <f aca="false">$F12</f>
        <v>0</v>
      </c>
      <c r="L12" s="18" t="n">
        <f aca="false">$F12</f>
        <v>0</v>
      </c>
      <c r="M12" s="283" t="n">
        <f aca="false">$F12</f>
        <v>0</v>
      </c>
      <c r="N12" s="180" t="n">
        <f aca="false">$F12</f>
        <v>0</v>
      </c>
      <c r="O12" s="18" t="n">
        <f aca="false">$F12</f>
        <v>0</v>
      </c>
      <c r="P12" s="18" t="n">
        <f aca="false">$F12</f>
        <v>0</v>
      </c>
      <c r="Q12" s="283" t="n">
        <f aca="false">$F12</f>
        <v>0</v>
      </c>
      <c r="R12" s="180" t="n">
        <f aca="false">$F12</f>
        <v>0</v>
      </c>
      <c r="S12" s="18" t="n">
        <f aca="false">$F12</f>
        <v>0</v>
      </c>
      <c r="T12" s="18" t="n">
        <f aca="false">$F12</f>
        <v>0</v>
      </c>
      <c r="U12" s="283" t="n">
        <f aca="false">$F12</f>
        <v>0</v>
      </c>
    </row>
    <row r="13" customFormat="false" ht="15" hidden="false" customHeight="false" outlineLevel="0" collapsed="false">
      <c r="A13" s="18" t="s">
        <v>848</v>
      </c>
      <c r="B13" s="18" t="s">
        <v>846</v>
      </c>
      <c r="C13" s="18" t="s">
        <v>838</v>
      </c>
      <c r="D13" s="281" t="n">
        <v>44038</v>
      </c>
      <c r="E13" s="281" t="n">
        <f aca="false">D13*(1.03)^5</f>
        <v>51052.1116840234</v>
      </c>
      <c r="F13" s="18" t="n">
        <v>0</v>
      </c>
      <c r="G13" s="18" t="n">
        <v>0</v>
      </c>
      <c r="H13" s="18" t="n">
        <v>0</v>
      </c>
      <c r="I13" s="283" t="n">
        <v>0</v>
      </c>
      <c r="J13" s="180" t="n">
        <f aca="false">$F13</f>
        <v>0</v>
      </c>
      <c r="K13" s="18" t="n">
        <f aca="false">$F13</f>
        <v>0</v>
      </c>
      <c r="L13" s="18" t="n">
        <f aca="false">$F13</f>
        <v>0</v>
      </c>
      <c r="M13" s="283" t="n">
        <f aca="false">$F13</f>
        <v>0</v>
      </c>
      <c r="N13" s="180" t="n">
        <f aca="false">$F13</f>
        <v>0</v>
      </c>
      <c r="O13" s="18" t="n">
        <f aca="false">$F13</f>
        <v>0</v>
      </c>
      <c r="P13" s="18" t="n">
        <f aca="false">$F13</f>
        <v>0</v>
      </c>
      <c r="Q13" s="283" t="n">
        <f aca="false">$F13</f>
        <v>0</v>
      </c>
      <c r="R13" s="180" t="n">
        <f aca="false">$F13</f>
        <v>0</v>
      </c>
      <c r="S13" s="18" t="n">
        <f aca="false">$F13</f>
        <v>0</v>
      </c>
      <c r="T13" s="18" t="n">
        <f aca="false">$F13</f>
        <v>0</v>
      </c>
      <c r="U13" s="283" t="n">
        <f aca="false">$F13</f>
        <v>0</v>
      </c>
    </row>
    <row r="14" customFormat="false" ht="15" hidden="false" customHeight="false" outlineLevel="0" collapsed="false">
      <c r="A14" s="18" t="s">
        <v>849</v>
      </c>
      <c r="B14" s="18" t="s">
        <v>846</v>
      </c>
      <c r="C14" s="18" t="s">
        <v>838</v>
      </c>
      <c r="D14" s="281" t="n">
        <v>38536</v>
      </c>
      <c r="E14" s="281" t="n">
        <f aca="false">D14*(1.03)^5</f>
        <v>44673.7857272248</v>
      </c>
      <c r="F14" s="18" t="n">
        <v>0</v>
      </c>
      <c r="G14" s="18" t="n">
        <v>0</v>
      </c>
      <c r="H14" s="18" t="n">
        <v>0</v>
      </c>
      <c r="I14" s="283" t="n">
        <v>0</v>
      </c>
      <c r="J14" s="180" t="n">
        <f aca="false">$F14</f>
        <v>0</v>
      </c>
      <c r="K14" s="18" t="n">
        <f aca="false">$F14</f>
        <v>0</v>
      </c>
      <c r="L14" s="18" t="n">
        <f aca="false">$F14</f>
        <v>0</v>
      </c>
      <c r="M14" s="283" t="n">
        <f aca="false">$F14</f>
        <v>0</v>
      </c>
      <c r="N14" s="180" t="n">
        <f aca="false">$F14</f>
        <v>0</v>
      </c>
      <c r="O14" s="18" t="n">
        <f aca="false">$F14</f>
        <v>0</v>
      </c>
      <c r="P14" s="18" t="n">
        <f aca="false">$F14</f>
        <v>0</v>
      </c>
      <c r="Q14" s="283" t="n">
        <f aca="false">$F14</f>
        <v>0</v>
      </c>
      <c r="R14" s="180" t="n">
        <f aca="false">$F14</f>
        <v>0</v>
      </c>
      <c r="S14" s="18" t="n">
        <f aca="false">$F14</f>
        <v>0</v>
      </c>
      <c r="T14" s="18" t="n">
        <f aca="false">$F14</f>
        <v>0</v>
      </c>
      <c r="U14" s="283" t="n">
        <f aca="false">$F14</f>
        <v>0</v>
      </c>
    </row>
    <row r="15" customFormat="false" ht="15" hidden="false" customHeight="false" outlineLevel="0" collapsed="false">
      <c r="A15" s="18" t="s">
        <v>836</v>
      </c>
      <c r="B15" s="18" t="s">
        <v>837</v>
      </c>
      <c r="C15" s="18" t="s">
        <v>641</v>
      </c>
      <c r="D15" s="281" t="n">
        <f aca="false">D4</f>
        <v>155400</v>
      </c>
      <c r="E15" s="281" t="n">
        <f aca="false">D15*(1.03)^5</f>
        <v>180151.19114622</v>
      </c>
      <c r="F15" s="18" t="n">
        <v>0</v>
      </c>
      <c r="G15" s="18" t="n">
        <v>0</v>
      </c>
      <c r="H15" s="18" t="n">
        <v>0</v>
      </c>
      <c r="I15" s="283" t="n">
        <v>0</v>
      </c>
      <c r="J15" s="180" t="n">
        <f aca="false">$F15</f>
        <v>0</v>
      </c>
      <c r="K15" s="18" t="n">
        <f aca="false">$F15</f>
        <v>0</v>
      </c>
      <c r="L15" s="18" t="n">
        <f aca="false">$F15</f>
        <v>0</v>
      </c>
      <c r="M15" s="283" t="n">
        <f aca="false">$F15</f>
        <v>0</v>
      </c>
      <c r="N15" s="180" t="n">
        <f aca="false">$F15</f>
        <v>0</v>
      </c>
      <c r="O15" s="18" t="n">
        <f aca="false">$F15</f>
        <v>0</v>
      </c>
      <c r="P15" s="18" t="n">
        <f aca="false">$F15</f>
        <v>0</v>
      </c>
      <c r="Q15" s="283" t="n">
        <f aca="false">$F15</f>
        <v>0</v>
      </c>
      <c r="R15" s="180" t="n">
        <f aca="false">$F15</f>
        <v>0</v>
      </c>
      <c r="S15" s="18" t="n">
        <f aca="false">$F15</f>
        <v>0</v>
      </c>
      <c r="T15" s="18" t="n">
        <f aca="false">$F15</f>
        <v>0</v>
      </c>
      <c r="U15" s="283" t="n">
        <f aca="false">$F15</f>
        <v>0</v>
      </c>
    </row>
    <row r="16" customFormat="false" ht="15" hidden="false" customHeight="false" outlineLevel="0" collapsed="false">
      <c r="A16" s="18" t="s">
        <v>850</v>
      </c>
      <c r="B16" s="18" t="s">
        <v>837</v>
      </c>
      <c r="C16" s="18" t="s">
        <v>641</v>
      </c>
      <c r="D16" s="281" t="n">
        <f aca="false">D5</f>
        <v>81935</v>
      </c>
      <c r="E16" s="281" t="n">
        <f aca="false">D16*(1.03)^5</f>
        <v>94985.1212777705</v>
      </c>
      <c r="F16" s="18" t="n">
        <v>1</v>
      </c>
      <c r="G16" s="18" t="n">
        <v>1</v>
      </c>
      <c r="H16" s="18" t="n">
        <v>1</v>
      </c>
      <c r="I16" s="283" t="n">
        <v>1</v>
      </c>
      <c r="J16" s="180" t="n">
        <f aca="false">$F16</f>
        <v>1</v>
      </c>
      <c r="K16" s="18" t="n">
        <f aca="false">$F16</f>
        <v>1</v>
      </c>
      <c r="L16" s="18" t="n">
        <f aca="false">$F16</f>
        <v>1</v>
      </c>
      <c r="M16" s="283" t="n">
        <f aca="false">$F16</f>
        <v>1</v>
      </c>
      <c r="N16" s="180" t="n">
        <f aca="false">$F16</f>
        <v>1</v>
      </c>
      <c r="O16" s="18" t="n">
        <f aca="false">$F16</f>
        <v>1</v>
      </c>
      <c r="P16" s="18" t="n">
        <f aca="false">$F16</f>
        <v>1</v>
      </c>
      <c r="Q16" s="283" t="n">
        <f aca="false">$F16</f>
        <v>1</v>
      </c>
      <c r="R16" s="180" t="n">
        <f aca="false">$F16</f>
        <v>1</v>
      </c>
      <c r="S16" s="18" t="n">
        <f aca="false">$F16</f>
        <v>1</v>
      </c>
      <c r="T16" s="18" t="n">
        <f aca="false">$F16</f>
        <v>1</v>
      </c>
      <c r="U16" s="283" t="n">
        <f aca="false">$F16</f>
        <v>1</v>
      </c>
    </row>
    <row r="17" customFormat="false" ht="15" hidden="false" customHeight="false" outlineLevel="0" collapsed="false">
      <c r="A17" s="18" t="s">
        <v>841</v>
      </c>
      <c r="B17" s="18" t="s">
        <v>837</v>
      </c>
      <c r="C17" s="18" t="s">
        <v>641</v>
      </c>
      <c r="D17" s="281" t="n">
        <f aca="false">D7</f>
        <v>60257</v>
      </c>
      <c r="E17" s="281" t="n">
        <f aca="false">D17*(1.03)^5</f>
        <v>69854.3778950951</v>
      </c>
      <c r="F17" s="18" t="n">
        <v>0</v>
      </c>
      <c r="G17" s="18" t="n">
        <v>0</v>
      </c>
      <c r="H17" s="18" t="n">
        <v>0</v>
      </c>
      <c r="I17" s="283" t="n">
        <v>0</v>
      </c>
      <c r="J17" s="180" t="n">
        <f aca="false">$F17</f>
        <v>0</v>
      </c>
      <c r="K17" s="18" t="n">
        <f aca="false">$F17</f>
        <v>0</v>
      </c>
      <c r="L17" s="18" t="n">
        <f aca="false">$F17</f>
        <v>0</v>
      </c>
      <c r="M17" s="283" t="n">
        <f aca="false">$F17</f>
        <v>0</v>
      </c>
      <c r="N17" s="180" t="n">
        <f aca="false">$F17</f>
        <v>0</v>
      </c>
      <c r="O17" s="18" t="n">
        <f aca="false">$F17</f>
        <v>0</v>
      </c>
      <c r="P17" s="18" t="n">
        <f aca="false">$F17</f>
        <v>0</v>
      </c>
      <c r="Q17" s="283" t="n">
        <f aca="false">$F17</f>
        <v>0</v>
      </c>
      <c r="R17" s="180" t="n">
        <f aca="false">$F17</f>
        <v>0</v>
      </c>
      <c r="S17" s="18" t="n">
        <f aca="false">$F17</f>
        <v>0</v>
      </c>
      <c r="T17" s="18" t="n">
        <f aca="false">$F17</f>
        <v>0</v>
      </c>
      <c r="U17" s="283" t="n">
        <f aca="false">$F17</f>
        <v>0</v>
      </c>
    </row>
    <row r="18" customFormat="false" ht="15" hidden="false" customHeight="false" outlineLevel="0" collapsed="false">
      <c r="A18" s="18" t="s">
        <v>842</v>
      </c>
      <c r="B18" s="18" t="s">
        <v>837</v>
      </c>
      <c r="C18" s="18" t="s">
        <v>641</v>
      </c>
      <c r="D18" s="281" t="n">
        <f aca="false">D8</f>
        <v>42286</v>
      </c>
      <c r="E18" s="281" t="n">
        <f aca="false">D18*(1.03)^5</f>
        <v>49021.0635058498</v>
      </c>
      <c r="F18" s="18" t="n">
        <v>3</v>
      </c>
      <c r="G18" s="18" t="n">
        <v>3</v>
      </c>
      <c r="H18" s="18" t="n">
        <v>3</v>
      </c>
      <c r="I18" s="283" t="n">
        <v>3</v>
      </c>
      <c r="J18" s="180" t="n">
        <f aca="false">$F18</f>
        <v>3</v>
      </c>
      <c r="K18" s="18" t="n">
        <f aca="false">$F18</f>
        <v>3</v>
      </c>
      <c r="L18" s="18" t="n">
        <f aca="false">$F18</f>
        <v>3</v>
      </c>
      <c r="M18" s="283" t="n">
        <f aca="false">$F18</f>
        <v>3</v>
      </c>
      <c r="N18" s="180" t="n">
        <f aca="false">$F18</f>
        <v>3</v>
      </c>
      <c r="O18" s="18" t="n">
        <f aca="false">$F18</f>
        <v>3</v>
      </c>
      <c r="P18" s="18" t="n">
        <f aca="false">$F18</f>
        <v>3</v>
      </c>
      <c r="Q18" s="283" t="n">
        <f aca="false">$F18</f>
        <v>3</v>
      </c>
      <c r="R18" s="180" t="n">
        <f aca="false">$F18</f>
        <v>3</v>
      </c>
      <c r="S18" s="18" t="n">
        <f aca="false">$F18</f>
        <v>3</v>
      </c>
      <c r="T18" s="18" t="n">
        <f aca="false">$F18</f>
        <v>3</v>
      </c>
      <c r="U18" s="283" t="n">
        <f aca="false">$F18</f>
        <v>3</v>
      </c>
    </row>
    <row r="19" customFormat="false" ht="15" hidden="false" customHeight="false" outlineLevel="0" collapsed="false">
      <c r="A19" s="18" t="s">
        <v>843</v>
      </c>
      <c r="B19" s="18" t="s">
        <v>837</v>
      </c>
      <c r="C19" s="18" t="s">
        <v>641</v>
      </c>
      <c r="D19" s="281" t="n">
        <f aca="false">D9</f>
        <v>59200</v>
      </c>
      <c r="E19" s="281" t="n">
        <f aca="false">D19*(1.03)^5</f>
        <v>68629.02519856</v>
      </c>
      <c r="F19" s="18" t="n">
        <v>0</v>
      </c>
      <c r="G19" s="18" t="n">
        <v>0</v>
      </c>
      <c r="H19" s="18" t="n">
        <v>0</v>
      </c>
      <c r="I19" s="283" t="n">
        <v>0</v>
      </c>
      <c r="J19" s="180" t="n">
        <f aca="false">$F19</f>
        <v>0</v>
      </c>
      <c r="K19" s="18" t="n">
        <f aca="false">$F19</f>
        <v>0</v>
      </c>
      <c r="L19" s="18" t="n">
        <f aca="false">$F19</f>
        <v>0</v>
      </c>
      <c r="M19" s="283" t="n">
        <f aca="false">$F19</f>
        <v>0</v>
      </c>
      <c r="N19" s="180" t="n">
        <f aca="false">$F19</f>
        <v>0</v>
      </c>
      <c r="O19" s="18" t="n">
        <f aca="false">$F19</f>
        <v>0</v>
      </c>
      <c r="P19" s="18" t="n">
        <f aca="false">$F19</f>
        <v>0</v>
      </c>
      <c r="Q19" s="283" t="n">
        <f aca="false">$F19</f>
        <v>0</v>
      </c>
      <c r="R19" s="180" t="n">
        <f aca="false">$F19</f>
        <v>0</v>
      </c>
      <c r="S19" s="18" t="n">
        <f aca="false">$F19</f>
        <v>0</v>
      </c>
      <c r="T19" s="18" t="n">
        <f aca="false">$F19</f>
        <v>0</v>
      </c>
      <c r="U19" s="283" t="n">
        <f aca="false">$F19</f>
        <v>0</v>
      </c>
    </row>
    <row r="20" customFormat="false" ht="15" hidden="false" customHeight="false" outlineLevel="0" collapsed="false">
      <c r="A20" s="18" t="s">
        <v>844</v>
      </c>
      <c r="B20" s="18" t="s">
        <v>837</v>
      </c>
      <c r="C20" s="18" t="s">
        <v>641</v>
      </c>
      <c r="D20" s="281" t="n">
        <f aca="false">D10</f>
        <v>42286</v>
      </c>
      <c r="E20" s="281" t="n">
        <f aca="false">D20*(1.03)^5</f>
        <v>49021.0635058498</v>
      </c>
      <c r="F20" s="18" t="n">
        <v>2</v>
      </c>
      <c r="G20" s="18" t="n">
        <v>2</v>
      </c>
      <c r="H20" s="18" t="n">
        <v>2</v>
      </c>
      <c r="I20" s="283" t="n">
        <v>2</v>
      </c>
      <c r="J20" s="180" t="n">
        <f aca="false">$F20</f>
        <v>2</v>
      </c>
      <c r="K20" s="18" t="n">
        <f aca="false">$F20</f>
        <v>2</v>
      </c>
      <c r="L20" s="18" t="n">
        <f aca="false">$F20</f>
        <v>2</v>
      </c>
      <c r="M20" s="283" t="n">
        <f aca="false">$F20</f>
        <v>2</v>
      </c>
      <c r="N20" s="180" t="n">
        <f aca="false">$F20</f>
        <v>2</v>
      </c>
      <c r="O20" s="18" t="n">
        <f aca="false">$F20</f>
        <v>2</v>
      </c>
      <c r="P20" s="18" t="n">
        <f aca="false">$F20</f>
        <v>2</v>
      </c>
      <c r="Q20" s="283" t="n">
        <f aca="false">$F20</f>
        <v>2</v>
      </c>
      <c r="R20" s="180" t="n">
        <f aca="false">$F20</f>
        <v>2</v>
      </c>
      <c r="S20" s="18" t="n">
        <f aca="false">$F20</f>
        <v>2</v>
      </c>
      <c r="T20" s="18" t="n">
        <f aca="false">$F20</f>
        <v>2</v>
      </c>
      <c r="U20" s="283" t="n">
        <f aca="false">$F20</f>
        <v>2</v>
      </c>
    </row>
    <row r="21" customFormat="false" ht="15" hidden="false" customHeight="false" outlineLevel="0" collapsed="false">
      <c r="A21" s="18" t="s">
        <v>851</v>
      </c>
      <c r="B21" s="18" t="s">
        <v>846</v>
      </c>
      <c r="C21" s="18" t="s">
        <v>641</v>
      </c>
      <c r="D21" s="281" t="n">
        <f aca="false">D11</f>
        <v>50743</v>
      </c>
      <c r="E21" s="281" t="n">
        <f aca="false">D21*(1.03)^5</f>
        <v>58825.0443522049</v>
      </c>
      <c r="F21" s="18" t="n">
        <v>0</v>
      </c>
      <c r="G21" s="18" t="n">
        <v>0</v>
      </c>
      <c r="H21" s="18" t="n">
        <v>0</v>
      </c>
      <c r="I21" s="283" t="n">
        <v>0</v>
      </c>
      <c r="J21" s="180" t="n">
        <f aca="false">$F21</f>
        <v>0</v>
      </c>
      <c r="K21" s="18" t="n">
        <f aca="false">$F21</f>
        <v>0</v>
      </c>
      <c r="L21" s="18" t="n">
        <f aca="false">$F21</f>
        <v>0</v>
      </c>
      <c r="M21" s="283" t="n">
        <f aca="false">$F21</f>
        <v>0</v>
      </c>
      <c r="N21" s="180" t="n">
        <f aca="false">$F21</f>
        <v>0</v>
      </c>
      <c r="O21" s="18" t="n">
        <f aca="false">$F21</f>
        <v>0</v>
      </c>
      <c r="P21" s="18" t="n">
        <f aca="false">$F21</f>
        <v>0</v>
      </c>
      <c r="Q21" s="283" t="n">
        <f aca="false">$F21</f>
        <v>0</v>
      </c>
      <c r="R21" s="180" t="n">
        <f aca="false">$F21</f>
        <v>0</v>
      </c>
      <c r="S21" s="18" t="n">
        <f aca="false">$F21</f>
        <v>0</v>
      </c>
      <c r="T21" s="18" t="n">
        <f aca="false">$F21</f>
        <v>0</v>
      </c>
      <c r="U21" s="283" t="n">
        <f aca="false">$F21</f>
        <v>0</v>
      </c>
    </row>
    <row r="22" customFormat="false" ht="15" hidden="false" customHeight="false" outlineLevel="0" collapsed="false">
      <c r="A22" s="180" t="s">
        <v>852</v>
      </c>
      <c r="B22" s="180" t="s">
        <v>846</v>
      </c>
      <c r="C22" s="180" t="s">
        <v>641</v>
      </c>
      <c r="D22" s="281" t="n">
        <f aca="false">D12</f>
        <v>26872</v>
      </c>
      <c r="E22" s="281" t="n">
        <f aca="false">D22*(1.03)^5</f>
        <v>31152.0129245896</v>
      </c>
      <c r="F22" s="180" t="n">
        <v>0</v>
      </c>
      <c r="G22" s="180" t="n">
        <v>0</v>
      </c>
      <c r="H22" s="180" t="n">
        <v>0</v>
      </c>
      <c r="I22" s="283" t="n">
        <v>0</v>
      </c>
      <c r="J22" s="284" t="n">
        <f aca="false">_xlfn.CEILING.MATH($F$22*J2)</f>
        <v>0</v>
      </c>
      <c r="K22" s="284" t="n">
        <f aca="false">_xlfn.CEILING.MATH($F$22*K2)</f>
        <v>0</v>
      </c>
      <c r="L22" s="284" t="n">
        <f aca="false">_xlfn.CEILING.MATH($F$22*L2)</f>
        <v>0</v>
      </c>
      <c r="M22" s="285" t="n">
        <f aca="false">_xlfn.CEILING.MATH($F$22*M2)</f>
        <v>0</v>
      </c>
      <c r="N22" s="284" t="n">
        <f aca="false">_xlfn.CEILING.MATH($G$22*N2)</f>
        <v>0</v>
      </c>
      <c r="O22" s="284" t="n">
        <f aca="false">_xlfn.CEILING.MATH($G$22*O2)</f>
        <v>0</v>
      </c>
      <c r="P22" s="284" t="n">
        <f aca="false">_xlfn.CEILING.MATH($G$22*P2)</f>
        <v>0</v>
      </c>
      <c r="Q22" s="285" t="n">
        <f aca="false">_xlfn.CEILING.MATH($G$22*Q2)</f>
        <v>0</v>
      </c>
      <c r="R22" s="284" t="n">
        <f aca="false">_xlfn.CEILING.MATH($H$22*R2)</f>
        <v>0</v>
      </c>
      <c r="S22" s="284" t="n">
        <f aca="false">_xlfn.CEILING.MATH($H$22*S2)</f>
        <v>0</v>
      </c>
      <c r="T22" s="284" t="n">
        <f aca="false">_xlfn.CEILING.MATH($H$22*T2)</f>
        <v>0</v>
      </c>
      <c r="U22" s="285" t="n">
        <f aca="false">_xlfn.CEILING.MATH($H$22*U2)</f>
        <v>0</v>
      </c>
    </row>
    <row r="23" customFormat="false" ht="15" hidden="false" customHeight="false" outlineLevel="0" collapsed="false">
      <c r="A23" s="18" t="s">
        <v>853</v>
      </c>
      <c r="B23" s="18" t="s">
        <v>837</v>
      </c>
      <c r="C23" s="18" t="s">
        <v>854</v>
      </c>
      <c r="D23" s="281" t="n">
        <v>38057</v>
      </c>
      <c r="E23" s="281" t="n">
        <f aca="false">D23*(1.03)^5</f>
        <v>44118.4934456351</v>
      </c>
      <c r="F23" s="18" t="n">
        <v>4</v>
      </c>
      <c r="G23" s="18" t="n">
        <v>4</v>
      </c>
      <c r="H23" s="18" t="n">
        <v>4</v>
      </c>
      <c r="I23" s="283" t="n">
        <v>4</v>
      </c>
      <c r="J23" s="180" t="n">
        <f aca="false">$F23</f>
        <v>4</v>
      </c>
      <c r="K23" s="18" t="n">
        <f aca="false">$F23</f>
        <v>4</v>
      </c>
      <c r="L23" s="18" t="n">
        <f aca="false">$F23</f>
        <v>4</v>
      </c>
      <c r="M23" s="283" t="n">
        <f aca="false">$F23</f>
        <v>4</v>
      </c>
      <c r="N23" s="180" t="n">
        <f aca="false">$F23</f>
        <v>4</v>
      </c>
      <c r="O23" s="18" t="n">
        <f aca="false">$F23</f>
        <v>4</v>
      </c>
      <c r="P23" s="18" t="n">
        <f aca="false">$F23</f>
        <v>4</v>
      </c>
      <c r="Q23" s="283" t="n">
        <f aca="false">$F23</f>
        <v>4</v>
      </c>
      <c r="R23" s="180" t="n">
        <f aca="false">$F23</f>
        <v>4</v>
      </c>
      <c r="S23" s="18" t="n">
        <f aca="false">$F23</f>
        <v>4</v>
      </c>
      <c r="T23" s="18" t="n">
        <f aca="false">$F23</f>
        <v>4</v>
      </c>
      <c r="U23" s="283" t="n">
        <f aca="false">$F23</f>
        <v>4</v>
      </c>
    </row>
    <row r="24" customFormat="false" ht="15" hidden="false" customHeight="false" outlineLevel="0" collapsed="false">
      <c r="A24" s="186" t="s">
        <v>855</v>
      </c>
      <c r="B24" s="186" t="s">
        <v>837</v>
      </c>
      <c r="C24" s="186" t="s">
        <v>854</v>
      </c>
      <c r="D24" s="286" t="n">
        <f aca="false">D12</f>
        <v>26872</v>
      </c>
      <c r="E24" s="287" t="n">
        <f aca="false">D24*(1.03)^5</f>
        <v>31152.0129245896</v>
      </c>
      <c r="F24" s="186" t="n">
        <v>4</v>
      </c>
      <c r="G24" s="186" t="n">
        <v>4</v>
      </c>
      <c r="H24" s="186" t="n">
        <v>4</v>
      </c>
      <c r="I24" s="186" t="n">
        <v>4</v>
      </c>
      <c r="J24" s="216" t="n">
        <f aca="false">$F24</f>
        <v>4</v>
      </c>
      <c r="K24" s="186" t="n">
        <f aca="false">$F24</f>
        <v>4</v>
      </c>
      <c r="L24" s="186" t="n">
        <f aca="false">$F24</f>
        <v>4</v>
      </c>
      <c r="M24" s="278" t="n">
        <f aca="false">$F24</f>
        <v>4</v>
      </c>
      <c r="N24" s="186" t="n">
        <f aca="false">$F24</f>
        <v>4</v>
      </c>
      <c r="O24" s="186" t="n">
        <f aca="false">$F24</f>
        <v>4</v>
      </c>
      <c r="P24" s="186" t="n">
        <f aca="false">$F24</f>
        <v>4</v>
      </c>
      <c r="Q24" s="186" t="n">
        <f aca="false">$F24</f>
        <v>4</v>
      </c>
      <c r="R24" s="216" t="n">
        <f aca="false">$F24</f>
        <v>4</v>
      </c>
      <c r="S24" s="186" t="n">
        <f aca="false">$F24</f>
        <v>4</v>
      </c>
      <c r="T24" s="186" t="n">
        <f aca="false">$F24</f>
        <v>4</v>
      </c>
      <c r="U24" s="278" t="n">
        <f aca="false">$F24</f>
        <v>4</v>
      </c>
    </row>
    <row r="25" customFormat="false" ht="15" hidden="false" customHeight="false" outlineLevel="0" collapsed="false">
      <c r="A25" s="0"/>
      <c r="B25" s="0"/>
      <c r="C25" s="0"/>
      <c r="D25" s="180" t="s">
        <v>837</v>
      </c>
      <c r="E25" s="18" t="s">
        <v>838</v>
      </c>
      <c r="F25" s="225" t="n">
        <f aca="false">SUMPRODUCT(F$4:F$24,($B$4:$B$24=$D25)*($C$4:$C$24=$E25)*1,$E$4:$E$24)*(1+$B$2)</f>
        <v>2543879.38046169</v>
      </c>
      <c r="G25" s="225" t="n">
        <f aca="false">SUMPRODUCT(G$4:G$24,($B$4:$B$24=$D25)*($C$4:$C$24=$E25)*1,$E$4:$E$24)*(1+$B$2)</f>
        <v>2543879.38046169</v>
      </c>
      <c r="H25" s="225" t="n">
        <f aca="false">SUMPRODUCT(H$4:H$24,($B$4:$B$24=$D25)*($C$4:$C$24=$E25)*1,$E$4:$E$24)*(1+$B$2)</f>
        <v>2543879.38046169</v>
      </c>
      <c r="I25" s="225" t="n">
        <f aca="false">SUMPRODUCT(I$4:I$24,($B$4:$B$24=$D25)*($C$4:$C$24=$E25)*1,$E$4:$E$24)*(1+$B$2)</f>
        <v>2543879.38046169</v>
      </c>
      <c r="J25" s="225" t="n">
        <f aca="false">SUMPRODUCT(J$4:J$24,($B$4:$B$24=$D25)*($C$4:$C$24=$E25)*1,$E$4:$E$24)*(1+$B$2)</f>
        <v>2543879.38046169</v>
      </c>
      <c r="K25" s="225" t="n">
        <f aca="false">SUMPRODUCT(K$4:K$24,($B$4:$B$24=$D25)*($C$4:$C$24=$E25)*1,$E$4:$E$24)*(1+$B$2)</f>
        <v>2543879.38046169</v>
      </c>
      <c r="L25" s="225" t="n">
        <f aca="false">SUMPRODUCT(L$4:L$24,($B$4:$B$24=$D25)*($C$4:$C$24=$E25)*1,$E$4:$E$24)*(1+$B$2)</f>
        <v>2543879.38046169</v>
      </c>
      <c r="M25" s="225" t="n">
        <f aca="false">SUMPRODUCT(M$4:M$24,($B$4:$B$24=$D25)*($C$4:$C$24=$E25)*1,$E$4:$E$24)*(1+$B$2)</f>
        <v>2543879.38046169</v>
      </c>
      <c r="N25" s="225" t="n">
        <f aca="false">SUMPRODUCT(N$4:N$24,($B$4:$B$24=$D25)*($C$4:$C$24=$E25)*1,$E$4:$E$24)*(1+$B$2)</f>
        <v>2543879.38046169</v>
      </c>
      <c r="O25" s="225" t="n">
        <f aca="false">SUMPRODUCT(O$4:O$24,($B$4:$B$24=$D25)*($C$4:$C$24=$E25)*1,$E$4:$E$24)*(1+$B$2)</f>
        <v>2543879.38046169</v>
      </c>
      <c r="P25" s="225" t="n">
        <f aca="false">SUMPRODUCT(P$4:P$24,($B$4:$B$24=$D25)*($C$4:$C$24=$E25)*1,$E$4:$E$24)*(1+$B$2)</f>
        <v>2543879.38046169</v>
      </c>
      <c r="Q25" s="225" t="n">
        <f aca="false">SUMPRODUCT(Q$4:Q$24,($B$4:$B$24=$D25)*($C$4:$C$24=$E25)*1,$E$4:$E$24)*(1+$B$2)</f>
        <v>2543879.38046169</v>
      </c>
      <c r="R25" s="225" t="n">
        <f aca="false">SUMPRODUCT(R$4:R$24,($B$4:$B$24=$D25)*($C$4:$C$24=$E25)*1,$E$4:$E$24)*(1+$B$2)</f>
        <v>2543879.38046169</v>
      </c>
      <c r="S25" s="225" t="n">
        <f aca="false">SUMPRODUCT(S$4:S$24,($B$4:$B$24=$D25)*($C$4:$C$24=$E25)*1,$E$4:$E$24)*(1+$B$2)</f>
        <v>2543879.38046169</v>
      </c>
      <c r="T25" s="225" t="n">
        <f aca="false">SUMPRODUCT(T$4:T$24,($B$4:$B$24=$D25)*($C$4:$C$24=$E25)*1,$E$4:$E$24)*(1+$B$2)</f>
        <v>2543879.38046169</v>
      </c>
      <c r="U25" s="225" t="n">
        <f aca="false">SUMPRODUCT(U$4:U$24,($B$4:$B$24=$D25)*($C$4:$C$24=$E25)*1,$E$4:$E$24)*(1+$B$2)</f>
        <v>2543879.38046169</v>
      </c>
    </row>
    <row r="26" customFormat="false" ht="15" hidden="false" customHeight="false" outlineLevel="0" collapsed="false">
      <c r="A26" s="18" t="s">
        <v>856</v>
      </c>
      <c r="B26" s="0"/>
      <c r="C26" s="0"/>
      <c r="D26" s="180" t="s">
        <v>837</v>
      </c>
      <c r="E26" s="18" t="s">
        <v>641</v>
      </c>
      <c r="F26" s="225" t="n">
        <f aca="false">SUMPRODUCT(F$4:F$24,($B$4:$B$24=$D26)*($C$4:$C$24=$E26)*1,$E$4:$E$24)*(1+$B$2)</f>
        <v>646171.833733337</v>
      </c>
      <c r="G26" s="225" t="n">
        <f aca="false">SUMPRODUCT(G$4:G$24,($B$4:$B$24=$D26)*($C$4:$C$24=$E26)*1,$E$4:$E$24)*(1+$B$2)</f>
        <v>646171.833733337</v>
      </c>
      <c r="H26" s="225" t="n">
        <f aca="false">SUMPRODUCT(H$4:H$24,($B$4:$B$24=$D26)*($C$4:$C$24=$E26)*1,$E$4:$E$24)*(1+$B$2)</f>
        <v>646171.833733337</v>
      </c>
      <c r="I26" s="225" t="n">
        <f aca="false">SUMPRODUCT(I$4:I$24,($B$4:$B$24=$D26)*($C$4:$C$24=$E26)*1,$E$4:$E$24)*(1+$B$2)</f>
        <v>646171.833733337</v>
      </c>
      <c r="J26" s="225" t="n">
        <f aca="false">SUMPRODUCT(J$4:J$24,($B$4:$B$24=$D26)*($C$4:$C$24=$E26)*1,$E$4:$E$24)*(1+$B$2)</f>
        <v>646171.833733337</v>
      </c>
      <c r="K26" s="225" t="n">
        <f aca="false">SUMPRODUCT(K$4:K$24,($B$4:$B$24=$D26)*($C$4:$C$24=$E26)*1,$E$4:$E$24)*(1+$B$2)</f>
        <v>646171.833733337</v>
      </c>
      <c r="L26" s="225" t="n">
        <f aca="false">SUMPRODUCT(L$4:L$24,($B$4:$B$24=$D26)*($C$4:$C$24=$E26)*1,$E$4:$E$24)*(1+$B$2)</f>
        <v>646171.833733337</v>
      </c>
      <c r="M26" s="225" t="n">
        <f aca="false">SUMPRODUCT(M$4:M$24,($B$4:$B$24=$D26)*($C$4:$C$24=$E26)*1,$E$4:$E$24)*(1+$B$2)</f>
        <v>646171.833733337</v>
      </c>
      <c r="N26" s="225" t="n">
        <f aca="false">SUMPRODUCT(N$4:N$24,($B$4:$B$24=$D26)*($C$4:$C$24=$E26)*1,$E$4:$E$24)*(1+$B$2)</f>
        <v>646171.833733337</v>
      </c>
      <c r="O26" s="225" t="n">
        <f aca="false">SUMPRODUCT(O$4:O$24,($B$4:$B$24=$D26)*($C$4:$C$24=$E26)*1,$E$4:$E$24)*(1+$B$2)</f>
        <v>646171.833733337</v>
      </c>
      <c r="P26" s="225" t="n">
        <f aca="false">SUMPRODUCT(P$4:P$24,($B$4:$B$24=$D26)*($C$4:$C$24=$E26)*1,$E$4:$E$24)*(1+$B$2)</f>
        <v>646171.833733337</v>
      </c>
      <c r="Q26" s="225" t="n">
        <f aca="false">SUMPRODUCT(Q$4:Q$24,($B$4:$B$24=$D26)*($C$4:$C$24=$E26)*1,$E$4:$E$24)*(1+$B$2)</f>
        <v>646171.833733337</v>
      </c>
      <c r="R26" s="225" t="n">
        <f aca="false">SUMPRODUCT(R$4:R$24,($B$4:$B$24=$D26)*($C$4:$C$24=$E26)*1,$E$4:$E$24)*(1+$B$2)</f>
        <v>646171.833733337</v>
      </c>
      <c r="S26" s="225" t="n">
        <f aca="false">SUMPRODUCT(S$4:S$24,($B$4:$B$24=$D26)*($C$4:$C$24=$E26)*1,$E$4:$E$24)*(1+$B$2)</f>
        <v>646171.833733337</v>
      </c>
      <c r="T26" s="225" t="n">
        <f aca="false">SUMPRODUCT(T$4:T$24,($B$4:$B$24=$D26)*($C$4:$C$24=$E26)*1,$E$4:$E$24)*(1+$B$2)</f>
        <v>646171.833733337</v>
      </c>
      <c r="U26" s="225" t="n">
        <f aca="false">SUMPRODUCT(U$4:U$24,($B$4:$B$24=$D26)*($C$4:$C$24=$E26)*1,$E$4:$E$24)*(1+$B$2)</f>
        <v>646171.833733337</v>
      </c>
    </row>
    <row r="27" customFormat="false" ht="15" hidden="false" customHeight="false" outlineLevel="0" collapsed="false">
      <c r="A27" s="284" t="s">
        <v>857</v>
      </c>
      <c r="B27" s="0"/>
      <c r="C27" s="0"/>
      <c r="D27" s="180" t="s">
        <v>837</v>
      </c>
      <c r="E27" s="186" t="s">
        <v>854</v>
      </c>
      <c r="F27" s="288" t="n">
        <f aca="false">SUMPRODUCT(F$4:F$24,($B$4:$B$24=$D27)*($C$4:$C$24=$E27)*1,$E$4:$E$24)*(1+$B$2)</f>
        <v>572055.848413708</v>
      </c>
      <c r="G27" s="288" t="n">
        <f aca="false">SUMPRODUCT(G$4:G$24,($B$4:$B$24=$D27)*($C$4:$C$24=$E27)*1,$E$4:$E$24)*(1+$B$2)</f>
        <v>572055.848413708</v>
      </c>
      <c r="H27" s="288" t="n">
        <f aca="false">SUMPRODUCT(H$4:H$24,($B$4:$B$24=$D27)*($C$4:$C$24=$E27)*1,$E$4:$E$24)*(1+$B$2)</f>
        <v>572055.848413708</v>
      </c>
      <c r="I27" s="288" t="n">
        <f aca="false">SUMPRODUCT(I$4:I$24,($B$4:$B$24=$D27)*($C$4:$C$24=$E27)*1,$E$4:$E$24)*(1+$B$2)</f>
        <v>572055.848413708</v>
      </c>
      <c r="J27" s="288" t="n">
        <f aca="false">SUMPRODUCT(J$4:J$24,($B$4:$B$24=$D27)*($C$4:$C$24=$E27)*1,$E$4:$E$24)*(1+$B$2)</f>
        <v>572055.848413708</v>
      </c>
      <c r="K27" s="288" t="n">
        <f aca="false">SUMPRODUCT(K$4:K$24,($B$4:$B$24=$D27)*($C$4:$C$24=$E27)*1,$E$4:$E$24)*(1+$B$2)</f>
        <v>572055.848413708</v>
      </c>
      <c r="L27" s="288" t="n">
        <f aca="false">SUMPRODUCT(L$4:L$24,($B$4:$B$24=$D27)*($C$4:$C$24=$E27)*1,$E$4:$E$24)*(1+$B$2)</f>
        <v>572055.848413708</v>
      </c>
      <c r="M27" s="288" t="n">
        <f aca="false">SUMPRODUCT(M$4:M$24,($B$4:$B$24=$D27)*($C$4:$C$24=$E27)*1,$E$4:$E$24)*(1+$B$2)</f>
        <v>572055.848413708</v>
      </c>
      <c r="N27" s="288" t="n">
        <f aca="false">SUMPRODUCT(N$4:N$24,($B$4:$B$24=$D27)*($C$4:$C$24=$E27)*1,$E$4:$E$24)*(1+$B$2)</f>
        <v>572055.848413708</v>
      </c>
      <c r="O27" s="288" t="n">
        <f aca="false">SUMPRODUCT(O$4:O$24,($B$4:$B$24=$D27)*($C$4:$C$24=$E27)*1,$E$4:$E$24)*(1+$B$2)</f>
        <v>572055.848413708</v>
      </c>
      <c r="P27" s="288" t="n">
        <f aca="false">SUMPRODUCT(P$4:P$24,($B$4:$B$24=$D27)*($C$4:$C$24=$E27)*1,$E$4:$E$24)*(1+$B$2)</f>
        <v>572055.848413708</v>
      </c>
      <c r="Q27" s="288" t="n">
        <f aca="false">SUMPRODUCT(Q$4:Q$24,($B$4:$B$24=$D27)*($C$4:$C$24=$E27)*1,$E$4:$E$24)*(1+$B$2)</f>
        <v>572055.848413708</v>
      </c>
      <c r="R27" s="288" t="n">
        <f aca="false">SUMPRODUCT(R$4:R$24,($B$4:$B$24=$D27)*($C$4:$C$24=$E27)*1,$E$4:$E$24)*(1+$B$2)</f>
        <v>572055.848413708</v>
      </c>
      <c r="S27" s="288" t="n">
        <f aca="false">SUMPRODUCT(S$4:S$24,($B$4:$B$24=$D27)*($C$4:$C$24=$E27)*1,$E$4:$E$24)*(1+$B$2)</f>
        <v>572055.848413708</v>
      </c>
      <c r="T27" s="288" t="n">
        <f aca="false">SUMPRODUCT(T$4:T$24,($B$4:$B$24=$D27)*($C$4:$C$24=$E27)*1,$E$4:$E$24)*(1+$B$2)</f>
        <v>572055.848413708</v>
      </c>
      <c r="U27" s="288" t="n">
        <f aca="false">SUMPRODUCT(U$4:U$24,($B$4:$B$24=$D27)*($C$4:$C$24=$E27)*1,$E$4:$E$24)*(1+$B$2)</f>
        <v>572055.848413708</v>
      </c>
    </row>
    <row r="28" customFormat="false" ht="15" hidden="false" customHeight="false" outlineLevel="0" collapsed="false">
      <c r="A28" s="0"/>
      <c r="B28" s="0"/>
      <c r="C28" s="0"/>
      <c r="D28" s="18" t="s">
        <v>846</v>
      </c>
      <c r="E28" s="18" t="s">
        <v>838</v>
      </c>
      <c r="F28" s="225" t="n">
        <f aca="false">SUMPRODUCT(F$4:F$24,($B$4:$B$24=$D28)*($C$4:$C$24=$E28)*1,$E$4:$E$24)*(1+$B$2)</f>
        <v>0</v>
      </c>
      <c r="G28" s="225" t="n">
        <f aca="false">SUMPRODUCT(G$4:G$24,($B$4:$B$24=$D28)*($C$4:$C$24=$E28)*1,$E$4:$E$24)*(1+$B$2)</f>
        <v>0</v>
      </c>
      <c r="H28" s="225" t="n">
        <f aca="false">SUMPRODUCT(H$4:H$24,($B$4:$B$24=$D28)*($C$4:$C$24=$E28)*1,$E$4:$E$24)*(1+$B$2)</f>
        <v>0</v>
      </c>
      <c r="I28" s="225" t="n">
        <f aca="false">SUMPRODUCT(I$4:I$24,($B$4:$B$24=$D28)*($C$4:$C$24=$E28)*1,$E$4:$E$24)*(1+$B$2)</f>
        <v>0</v>
      </c>
      <c r="J28" s="225" t="n">
        <f aca="false">SUMPRODUCT(J$4:J$24,($B$4:$B$24=$D28)*($C$4:$C$24=$E28)*1,$E$4:$E$24)*(1+$B$2)</f>
        <v>0</v>
      </c>
      <c r="K28" s="225" t="n">
        <f aca="false">SUMPRODUCT(K$4:K$24,($B$4:$B$24=$D28)*($C$4:$C$24=$E28)*1,$E$4:$E$24)*(1+$B$2)</f>
        <v>0</v>
      </c>
      <c r="L28" s="225" t="n">
        <f aca="false">SUMPRODUCT(L$4:L$24,($B$4:$B$24=$D28)*($C$4:$C$24=$E28)*1,$E$4:$E$24)*(1+$B$2)</f>
        <v>0</v>
      </c>
      <c r="M28" s="225" t="n">
        <f aca="false">SUMPRODUCT(M$4:M$24,($B$4:$B$24=$D28)*($C$4:$C$24=$E28)*1,$E$4:$E$24)*(1+$B$2)</f>
        <v>0</v>
      </c>
      <c r="N28" s="225" t="n">
        <f aca="false">SUMPRODUCT(N$4:N$24,($B$4:$B$24=$D28)*($C$4:$C$24=$E28)*1,$E$4:$E$24)*(1+$B$2)</f>
        <v>0</v>
      </c>
      <c r="O28" s="225" t="n">
        <f aca="false">SUMPRODUCT(O$4:O$24,($B$4:$B$24=$D28)*($C$4:$C$24=$E28)*1,$E$4:$E$24)*(1+$B$2)</f>
        <v>0</v>
      </c>
      <c r="P28" s="225" t="n">
        <f aca="false">SUMPRODUCT(P$4:P$24,($B$4:$B$24=$D28)*($C$4:$C$24=$E28)*1,$E$4:$E$24)*(1+$B$2)</f>
        <v>0</v>
      </c>
      <c r="Q28" s="225" t="n">
        <f aca="false">SUMPRODUCT(Q$4:Q$24,($B$4:$B$24=$D28)*($C$4:$C$24=$E28)*1,$E$4:$E$24)*(1+$B$2)</f>
        <v>0</v>
      </c>
      <c r="R28" s="225" t="n">
        <f aca="false">SUMPRODUCT(R$4:R$24,($B$4:$B$24=$D28)*($C$4:$C$24=$E28)*1,$E$4:$E$24)*(1+$B$2)</f>
        <v>0</v>
      </c>
      <c r="S28" s="225" t="n">
        <f aca="false">SUMPRODUCT(S$4:S$24,($B$4:$B$24=$D28)*($C$4:$C$24=$E28)*1,$E$4:$E$24)*(1+$B$2)</f>
        <v>0</v>
      </c>
      <c r="T28" s="225" t="n">
        <f aca="false">SUMPRODUCT(T$4:T$24,($B$4:$B$24=$D28)*($C$4:$C$24=$E28)*1,$E$4:$E$24)*(1+$B$2)</f>
        <v>0</v>
      </c>
      <c r="U28" s="225" t="n">
        <f aca="false">SUMPRODUCT(U$4:U$24,($B$4:$B$24=$D28)*($C$4:$C$24=$E28)*1,$E$4:$E$24)*(1+$B$2)</f>
        <v>0</v>
      </c>
    </row>
    <row r="29" customFormat="false" ht="15" hidden="false" customHeight="false" outlineLevel="0" collapsed="false">
      <c r="A29" s="0"/>
      <c r="B29" s="0"/>
      <c r="C29" s="0"/>
      <c r="D29" s="18" t="s">
        <v>846</v>
      </c>
      <c r="E29" s="18" t="s">
        <v>641</v>
      </c>
      <c r="F29" s="225" t="n">
        <f aca="false">SUMPRODUCT(F$4:F$24,($B$4:$B$24=$D29)*($C$4:$C$24=$E29)*1,$E$4:$E$24)*(1+$B$2)</f>
        <v>0</v>
      </c>
      <c r="G29" s="225" t="n">
        <f aca="false">SUMPRODUCT(G$4:G$24,($B$4:$B$24=$D29)*($C$4:$C$24=$E29)*1,$E$4:$E$24)*(1+$B$2)</f>
        <v>0</v>
      </c>
      <c r="H29" s="225" t="n">
        <f aca="false">SUMPRODUCT(H$4:H$24,($B$4:$B$24=$D29)*($C$4:$C$24=$E29)*1,$E$4:$E$24)*(1+$B$2)</f>
        <v>0</v>
      </c>
      <c r="I29" s="225" t="n">
        <f aca="false">SUMPRODUCT(I$4:I$24,($B$4:$B$24=$D29)*($C$4:$C$24=$E29)*1,$E$4:$E$24)*(1+$B$2)</f>
        <v>0</v>
      </c>
      <c r="J29" s="225" t="n">
        <f aca="false">SUMPRODUCT(J$4:J$24,($B$4:$B$24=$D29)*($C$4:$C$24=$E29)*1,$E$4:$E$24)*(1+$B$2)</f>
        <v>0</v>
      </c>
      <c r="K29" s="225" t="n">
        <f aca="false">SUMPRODUCT(K$4:K$24,($B$4:$B$24=$D29)*($C$4:$C$24=$E29)*1,$E$4:$E$24)*(1+$B$2)</f>
        <v>0</v>
      </c>
      <c r="L29" s="225" t="n">
        <f aca="false">SUMPRODUCT(L$4:L$24,($B$4:$B$24=$D29)*($C$4:$C$24=$E29)*1,$E$4:$E$24)*(1+$B$2)</f>
        <v>0</v>
      </c>
      <c r="M29" s="225" t="n">
        <f aca="false">SUMPRODUCT(M$4:M$24,($B$4:$B$24=$D29)*($C$4:$C$24=$E29)*1,$E$4:$E$24)*(1+$B$2)</f>
        <v>0</v>
      </c>
      <c r="N29" s="225" t="n">
        <f aca="false">SUMPRODUCT(N$4:N$24,($B$4:$B$24=$D29)*($C$4:$C$24=$E29)*1,$E$4:$E$24)*(1+$B$2)</f>
        <v>0</v>
      </c>
      <c r="O29" s="225" t="n">
        <f aca="false">SUMPRODUCT(O$4:O$24,($B$4:$B$24=$D29)*($C$4:$C$24=$E29)*1,$E$4:$E$24)*(1+$B$2)</f>
        <v>0</v>
      </c>
      <c r="P29" s="225" t="n">
        <f aca="false">SUMPRODUCT(P$4:P$24,($B$4:$B$24=$D29)*($C$4:$C$24=$E29)*1,$E$4:$E$24)*(1+$B$2)</f>
        <v>0</v>
      </c>
      <c r="Q29" s="225" t="n">
        <f aca="false">SUMPRODUCT(Q$4:Q$24,($B$4:$B$24=$D29)*($C$4:$C$24=$E29)*1,$E$4:$E$24)*(1+$B$2)</f>
        <v>0</v>
      </c>
      <c r="R29" s="225" t="n">
        <f aca="false">SUMPRODUCT(R$4:R$24,($B$4:$B$24=$D29)*($C$4:$C$24=$E29)*1,$E$4:$E$24)*(1+$B$2)</f>
        <v>0</v>
      </c>
      <c r="S29" s="225" t="n">
        <f aca="false">SUMPRODUCT(S$4:S$24,($B$4:$B$24=$D29)*($C$4:$C$24=$E29)*1,$E$4:$E$24)*(1+$B$2)</f>
        <v>0</v>
      </c>
      <c r="T29" s="225" t="n">
        <f aca="false">SUMPRODUCT(T$4:T$24,($B$4:$B$24=$D29)*($C$4:$C$24=$E29)*1,$E$4:$E$24)*(1+$B$2)</f>
        <v>0</v>
      </c>
      <c r="U29" s="225" t="n">
        <f aca="false">SUMPRODUCT(U$4:U$24,($B$4:$B$24=$D29)*($C$4:$C$24=$E29)*1,$E$4:$E$24)*(1+$B$2)</f>
        <v>0</v>
      </c>
    </row>
    <row r="30" customFormat="false" ht="15" hidden="false" customHeight="false" outlineLevel="0" collapsed="false">
      <c r="A30" s="0"/>
      <c r="B30" s="0"/>
      <c r="C30" s="0"/>
      <c r="D30" s="0"/>
      <c r="E30" s="18" t="s">
        <v>858</v>
      </c>
      <c r="F30" s="225" t="n">
        <f aca="false">SUM(F25:F27)</f>
        <v>3762107.06260874</v>
      </c>
      <c r="G30" s="225" t="n">
        <f aca="false">SUM(G25:G27)</f>
        <v>3762107.06260874</v>
      </c>
      <c r="H30" s="225" t="n">
        <f aca="false">SUM(H25:H27)</f>
        <v>3762107.06260874</v>
      </c>
      <c r="I30" s="225" t="n">
        <f aca="false">SUM(I25:I27)</f>
        <v>3762107.06260874</v>
      </c>
      <c r="J30" s="225" t="n">
        <f aca="false">SUM(J25:J27)</f>
        <v>3762107.06260874</v>
      </c>
      <c r="K30" s="225" t="n">
        <f aca="false">SUM(K25:K27)</f>
        <v>3762107.06260874</v>
      </c>
      <c r="L30" s="225" t="n">
        <f aca="false">SUM(L25:L27)</f>
        <v>3762107.06260874</v>
      </c>
      <c r="M30" s="225" t="n">
        <f aca="false">SUM(M25:M27)</f>
        <v>3762107.06260874</v>
      </c>
      <c r="N30" s="225" t="n">
        <f aca="false">SUM(N25:N27)</f>
        <v>3762107.06260874</v>
      </c>
      <c r="O30" s="225" t="n">
        <f aca="false">SUM(O25:O27)</f>
        <v>3762107.06260874</v>
      </c>
      <c r="P30" s="225" t="n">
        <f aca="false">SUM(P25:P27)</f>
        <v>3762107.06260874</v>
      </c>
      <c r="Q30" s="225" t="n">
        <f aca="false">SUM(Q25:Q27)</f>
        <v>3762107.06260874</v>
      </c>
      <c r="R30" s="225" t="n">
        <f aca="false">SUM(R25:R27)</f>
        <v>3762107.06260874</v>
      </c>
      <c r="S30" s="225" t="n">
        <f aca="false">SUM(S25:S27)</f>
        <v>3762107.06260874</v>
      </c>
      <c r="T30" s="225" t="n">
        <f aca="false">SUM(T25:T27)</f>
        <v>3762107.06260874</v>
      </c>
      <c r="U30" s="225" t="n">
        <f aca="false">SUM(U25:U27)</f>
        <v>3762107.06260874</v>
      </c>
    </row>
    <row r="31" customFormat="false" ht="15" hidden="false" customHeight="false" outlineLevel="0" collapsed="false">
      <c r="A31" s="0"/>
      <c r="B31" s="0"/>
      <c r="C31" s="0"/>
      <c r="D31" s="0"/>
      <c r="E31" s="18" t="s">
        <v>859</v>
      </c>
      <c r="F31" s="225" t="n">
        <f aca="false">SUM(F28:F29)</f>
        <v>0</v>
      </c>
      <c r="G31" s="225" t="n">
        <f aca="false">SUM(G28:G29)</f>
        <v>0</v>
      </c>
      <c r="H31" s="225" t="n">
        <f aca="false">SUM(H28:H29)</f>
        <v>0</v>
      </c>
      <c r="I31" s="225" t="n">
        <f aca="false">SUM(I28:I29)</f>
        <v>0</v>
      </c>
      <c r="J31" s="225" t="n">
        <f aca="false">SUM(J28:J29)</f>
        <v>0</v>
      </c>
      <c r="K31" s="225" t="n">
        <f aca="false">SUM(K28:K29)</f>
        <v>0</v>
      </c>
      <c r="L31" s="225" t="n">
        <f aca="false">SUM(L28:L29)</f>
        <v>0</v>
      </c>
      <c r="M31" s="225" t="n">
        <f aca="false">SUM(M28:M29)</f>
        <v>0</v>
      </c>
      <c r="N31" s="225" t="n">
        <f aca="false">SUM(N28:N29)</f>
        <v>0</v>
      </c>
      <c r="O31" s="225" t="n">
        <f aca="false">SUM(O28:O29)</f>
        <v>0</v>
      </c>
      <c r="P31" s="225" t="n">
        <f aca="false">SUM(P28:P29)</f>
        <v>0</v>
      </c>
      <c r="Q31" s="225" t="n">
        <f aca="false">SUM(Q28:Q29)</f>
        <v>0</v>
      </c>
      <c r="R31" s="225" t="n">
        <f aca="false">SUM(R28:R29)</f>
        <v>0</v>
      </c>
      <c r="S31" s="225" t="n">
        <f aca="false">SUM(S28:S29)</f>
        <v>0</v>
      </c>
      <c r="T31" s="225" t="n">
        <f aca="false">SUM(T28:T29)</f>
        <v>0</v>
      </c>
      <c r="U31" s="225" t="n">
        <f aca="false">SUM(U28:U29)</f>
        <v>0</v>
      </c>
    </row>
    <row r="32" customFormat="false" ht="15" hidden="false" customHeight="false" outlineLevel="0" collapsed="false">
      <c r="A32" s="0"/>
      <c r="B32" s="0"/>
      <c r="C32" s="0"/>
      <c r="D32" s="0"/>
      <c r="E32" s="289" t="s">
        <v>860</v>
      </c>
      <c r="F32" s="225" t="n">
        <f aca="false">SUMPRODUCT(F4:F24,$E$4:$E$24)*(1+$B$2)</f>
        <v>3762107.06260874</v>
      </c>
      <c r="G32" s="225" t="n">
        <f aca="false">SUMPRODUCT(G4:G24,$E$4:$E$24)*(1+$B$2)</f>
        <v>3762107.06260874</v>
      </c>
      <c r="H32" s="225" t="n">
        <f aca="false">SUMPRODUCT(H4:H24,$E$4:$E$24)*(1+$B$2)</f>
        <v>3762107.06260874</v>
      </c>
      <c r="I32" s="225" t="n">
        <f aca="false">SUMPRODUCT(I4:I24,$E$4:$E$24)*(1+$B$2)</f>
        <v>3762107.06260874</v>
      </c>
      <c r="J32" s="225" t="n">
        <f aca="false">SUMPRODUCT(J4:J24,$E$4:$E$24)*(1+$B$2)</f>
        <v>3762107.06260874</v>
      </c>
      <c r="K32" s="225" t="n">
        <f aca="false">SUMPRODUCT(K4:K24,$E$4:$E$24)*(1+$B$2)</f>
        <v>3762107.06260874</v>
      </c>
      <c r="L32" s="225" t="n">
        <f aca="false">SUMPRODUCT(L4:L24,$E$4:$E$24)*(1+$B$2)</f>
        <v>3762107.06260874</v>
      </c>
      <c r="M32" s="225" t="n">
        <f aca="false">SUMPRODUCT(M4:M24,$E$4:$E$24)*(1+$B$2)</f>
        <v>3762107.06260874</v>
      </c>
      <c r="N32" s="225" t="n">
        <f aca="false">SUMPRODUCT(N4:N24,$E$4:$E$24)*(1+$B$2)</f>
        <v>3762107.06260874</v>
      </c>
      <c r="O32" s="225" t="n">
        <f aca="false">SUMPRODUCT(O4:O24,$E$4:$E$24)*(1+$B$2)</f>
        <v>3762107.06260874</v>
      </c>
      <c r="P32" s="225" t="n">
        <f aca="false">SUMPRODUCT(P4:P24,$E$4:$E$24)*(1+$B$2)</f>
        <v>3762107.06260874</v>
      </c>
      <c r="Q32" s="225" t="n">
        <f aca="false">SUMPRODUCT(Q4:Q24,$E$4:$E$24)*(1+$B$2)</f>
        <v>3762107.06260874</v>
      </c>
      <c r="R32" s="225" t="n">
        <f aca="false">SUMPRODUCT(R4:R24,$E$4:$E$24)*(1+$B$2)</f>
        <v>3762107.06260874</v>
      </c>
      <c r="S32" s="225" t="n">
        <f aca="false">SUMPRODUCT(S4:S24,$E$4:$E$24)*(1+$B$2)</f>
        <v>3762107.06260874</v>
      </c>
      <c r="T32" s="225" t="n">
        <f aca="false">SUMPRODUCT(T4:T24,$E$4:$E$24)*(1+$B$2)</f>
        <v>3762107.06260874</v>
      </c>
      <c r="U32" s="225" t="n">
        <f aca="false">SUMPRODUCT(U4:U24,$E$4:$E$24)*(1+$B$2)</f>
        <v>3762107.06260874</v>
      </c>
    </row>
    <row r="33" customFormat="false" ht="15" hidden="false" customHeight="false" outlineLevel="0" collapsed="false">
      <c r="A33" s="0"/>
      <c r="B33" s="0"/>
      <c r="C33" s="0"/>
      <c r="D33" s="0"/>
      <c r="E33" s="18" t="s">
        <v>861</v>
      </c>
      <c r="F33" s="18" t="n">
        <f aca="false">SUM(F4:F24)</f>
        <v>34</v>
      </c>
      <c r="G33" s="18" t="n">
        <f aca="false">SUM(G4:G24)</f>
        <v>34</v>
      </c>
      <c r="H33" s="18" t="n">
        <f aca="false">SUM(H4:H24)</f>
        <v>34</v>
      </c>
      <c r="I33" s="18" t="n">
        <f aca="false">SUM(I4:I24)</f>
        <v>34</v>
      </c>
      <c r="J33" s="18" t="n">
        <f aca="false">SUM(J4:J24)</f>
        <v>34</v>
      </c>
      <c r="K33" s="18" t="n">
        <f aca="false">SUM(K4:K24)</f>
        <v>34</v>
      </c>
      <c r="L33" s="18" t="n">
        <f aca="false">SUM(L4:L24)</f>
        <v>34</v>
      </c>
      <c r="M33" s="18" t="n">
        <f aca="false">SUM(M4:M24)</f>
        <v>34</v>
      </c>
      <c r="N33" s="18" t="n">
        <f aca="false">SUM(N4:N24)</f>
        <v>34</v>
      </c>
      <c r="O33" s="18" t="n">
        <f aca="false">SUM(O4:O24)</f>
        <v>34</v>
      </c>
      <c r="P33" s="18" t="n">
        <f aca="false">SUM(P4:P24)</f>
        <v>34</v>
      </c>
      <c r="Q33" s="18" t="n">
        <f aca="false">SUM(Q4:Q24)</f>
        <v>34</v>
      </c>
      <c r="R33" s="18" t="n">
        <f aca="false">SUM(R4:R24)</f>
        <v>34</v>
      </c>
      <c r="S33" s="18" t="n">
        <f aca="false">SUM(S4:S24)</f>
        <v>34</v>
      </c>
      <c r="T33" s="18" t="n">
        <f aca="false">SUM(T4:T24)</f>
        <v>34</v>
      </c>
      <c r="U33" s="18" t="n">
        <f aca="false">SUM(U4:U24)</f>
        <v>34</v>
      </c>
    </row>
    <row r="34" customFormat="false" ht="15" hidden="false" customHeight="false" outlineLevel="0" collapsed="false">
      <c r="A34" s="0"/>
      <c r="B34" s="0"/>
      <c r="C34" s="0"/>
      <c r="D34" s="0"/>
      <c r="E34" s="18" t="s">
        <v>862</v>
      </c>
      <c r="F34" s="18" t="n">
        <f aca="false">SUMIFS(F4:F24,$B$4:$B$24,"Fixed")</f>
        <v>34</v>
      </c>
      <c r="G34" s="18" t="n">
        <f aca="false">SUMIFS(G4:G24,$B$4:$B$24,"Fixed")</f>
        <v>34</v>
      </c>
      <c r="H34" s="18" t="n">
        <f aca="false">SUMIFS(H4:H24,$B$4:$B$24,"Fixed")</f>
        <v>34</v>
      </c>
      <c r="I34" s="18" t="n">
        <f aca="false">SUMIFS(I4:I24,$B$4:$B$24,"Fixed")</f>
        <v>34</v>
      </c>
      <c r="J34" s="18" t="n">
        <f aca="false">SUMIFS(J4:J24,$B$4:$B$24,"Fixed")</f>
        <v>34</v>
      </c>
      <c r="K34" s="18" t="n">
        <f aca="false">SUMIFS(K4:K24,$B$4:$B$24,"Fixed")</f>
        <v>34</v>
      </c>
      <c r="L34" s="18" t="n">
        <f aca="false">SUMIFS(L4:L24,$B$4:$B$24,"Fixed")</f>
        <v>34</v>
      </c>
      <c r="M34" s="18" t="n">
        <f aca="false">SUMIFS(M4:M24,$B$4:$B$24,"Fixed")</f>
        <v>34</v>
      </c>
      <c r="N34" s="18" t="n">
        <f aca="false">SUMIFS(N4:N24,$B$4:$B$24,"Fixed")</f>
        <v>34</v>
      </c>
      <c r="O34" s="18" t="n">
        <f aca="false">SUMIFS(O4:O24,$B$4:$B$24,"Fixed")</f>
        <v>34</v>
      </c>
      <c r="P34" s="18" t="n">
        <f aca="false">SUMIFS(P4:P24,$B$4:$B$24,"Fixed")</f>
        <v>34</v>
      </c>
      <c r="Q34" s="18" t="n">
        <f aca="false">SUMIFS(Q4:Q24,$B$4:$B$24,"Fixed")</f>
        <v>34</v>
      </c>
      <c r="R34" s="18" t="n">
        <f aca="false">SUMIFS(R4:R24,$B$4:$B$24,"Fixed")</f>
        <v>34</v>
      </c>
      <c r="S34" s="18" t="n">
        <f aca="false">SUMIFS(S4:S24,$B$4:$B$24,"Fixed")</f>
        <v>34</v>
      </c>
      <c r="T34" s="18" t="n">
        <f aca="false">SUMIFS(T4:T24,$B$4:$B$24,"Fixed")</f>
        <v>34</v>
      </c>
      <c r="U34" s="18" t="n">
        <f aca="false">SUMIFS(U4:U24,$B$4:$B$24,"Fixed")</f>
        <v>34</v>
      </c>
    </row>
    <row r="35" customFormat="false" ht="15" hidden="false" customHeight="false" outlineLevel="0" collapsed="false">
      <c r="A35" s="0"/>
      <c r="B35" s="0"/>
      <c r="C35" s="0"/>
      <c r="D35" s="0"/>
      <c r="E35" s="18" t="s">
        <v>863</v>
      </c>
      <c r="F35" s="18" t="n">
        <f aca="false">SUMIFS(F4:F24,$B$4:$B$24,"Variable")</f>
        <v>0</v>
      </c>
      <c r="G35" s="18" t="n">
        <f aca="false">SUMIFS(G4:G24,$B$4:$B$24,"Variable")</f>
        <v>0</v>
      </c>
      <c r="H35" s="18" t="n">
        <f aca="false">SUMIFS(H4:H24,$B$4:$B$24,"Variable")</f>
        <v>0</v>
      </c>
      <c r="I35" s="18" t="n">
        <f aca="false">SUMIFS(I4:I24,$B$4:$B$24,"Variable")</f>
        <v>0</v>
      </c>
      <c r="J35" s="18" t="n">
        <f aca="false">SUMIFS(J4:J24,$B$4:$B$24,"Variable")</f>
        <v>0</v>
      </c>
      <c r="K35" s="18" t="n">
        <f aca="false">SUMIFS(K4:K24,$B$4:$B$24,"Variable")</f>
        <v>0</v>
      </c>
      <c r="L35" s="18" t="n">
        <f aca="false">SUMIFS(L4:L24,$B$4:$B$24,"Variable")</f>
        <v>0</v>
      </c>
      <c r="M35" s="18" t="n">
        <f aca="false">SUMIFS(M4:M24,$B$4:$B$24,"Variable")</f>
        <v>0</v>
      </c>
      <c r="N35" s="18" t="n">
        <f aca="false">SUMIFS(N4:N24,$B$4:$B$24,"Variable")</f>
        <v>0</v>
      </c>
      <c r="O35" s="18" t="n">
        <f aca="false">SUMIFS(O4:O24,$B$4:$B$24,"Variable")</f>
        <v>0</v>
      </c>
      <c r="P35" s="18" t="n">
        <f aca="false">SUMIFS(P4:P24,$B$4:$B$24,"Variable")</f>
        <v>0</v>
      </c>
      <c r="Q35" s="18" t="n">
        <f aca="false">SUMIFS(Q4:Q24,$B$4:$B$24,"Variable")</f>
        <v>0</v>
      </c>
      <c r="R35" s="18" t="n">
        <f aca="false">SUMIFS(R4:R24,$B$4:$B$24,"Variable")</f>
        <v>0</v>
      </c>
      <c r="S35" s="18" t="n">
        <f aca="false">SUMIFS(S4:S24,$B$4:$B$24,"Variable")</f>
        <v>0</v>
      </c>
      <c r="T35" s="18" t="n">
        <f aca="false">SUMIFS(T4:T24,$B$4:$B$24,"Variable")</f>
        <v>0</v>
      </c>
      <c r="U35" s="18" t="n">
        <f aca="false">SUMIFS(U4:U24,$B$4:$B$24,"Variable")</f>
        <v>0</v>
      </c>
    </row>
    <row r="36" customFormat="false" ht="15" hidden="false" customHeight="false" outlineLevel="0" collapsed="false">
      <c r="A36" s="0"/>
      <c r="B36" s="0"/>
      <c r="C36" s="0"/>
      <c r="D36" s="0"/>
      <c r="E36" s="0"/>
      <c r="F36" s="230"/>
      <c r="G36" s="230"/>
      <c r="H36" s="230"/>
      <c r="I36" s="23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customFormat="fals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customFormat="false" ht="15" hidden="false" customHeight="false" outlineLevel="0" collapsed="false">
      <c r="A38" s="0"/>
      <c r="B38" s="0"/>
      <c r="C38" s="0"/>
      <c r="D38" s="0"/>
      <c r="E38" s="0"/>
      <c r="F38" s="0"/>
      <c r="G38" s="18" t="str">
        <f aca="false">G40&amp;G39</f>
        <v>4DBF</v>
      </c>
      <c r="H38" s="18" t="str">
        <f aca="false">H40&amp;H39</f>
        <v>0DBF</v>
      </c>
      <c r="I38" s="18" t="str">
        <f aca="false">I40&amp;I39</f>
        <v>1DBF</v>
      </c>
      <c r="J38" s="18" t="str">
        <f aca="false">J40&amp;J39</f>
        <v>2DBF</v>
      </c>
      <c r="K38" s="18" t="str">
        <f aca="false">K40&amp;K39</f>
        <v>3DBF</v>
      </c>
      <c r="L38" s="18" t="str">
        <f aca="false">L40&amp;L39</f>
        <v>4HTL</v>
      </c>
      <c r="M38" s="18" t="str">
        <f aca="false">M40&amp;M39</f>
        <v>0HTL</v>
      </c>
      <c r="N38" s="18" t="str">
        <f aca="false">N40&amp;N39</f>
        <v>1HTL</v>
      </c>
      <c r="O38" s="18" t="str">
        <f aca="false">O40&amp;O39</f>
        <v>2HTL</v>
      </c>
      <c r="P38" s="18" t="str">
        <f aca="false">P40&amp;P39</f>
        <v>3HTL</v>
      </c>
      <c r="Q38" s="18" t="str">
        <f aca="false">Q40&amp;Q39</f>
        <v>4WE</v>
      </c>
      <c r="R38" s="18" t="str">
        <f aca="false">R40&amp;R39</f>
        <v>0WE</v>
      </c>
      <c r="S38" s="18" t="str">
        <f aca="false">S40&amp;S39</f>
        <v>1WE</v>
      </c>
      <c r="T38" s="18" t="str">
        <f aca="false">T40&amp;T39</f>
        <v>2WE</v>
      </c>
      <c r="U38" s="18" t="str">
        <f aca="false">U40&amp;U39</f>
        <v>3WE</v>
      </c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188" t="s">
        <v>749</v>
      </c>
      <c r="H39" s="188" t="s">
        <v>749</v>
      </c>
      <c r="I39" s="188" t="s">
        <v>749</v>
      </c>
      <c r="J39" s="188" t="s">
        <v>749</v>
      </c>
      <c r="K39" s="188" t="s">
        <v>749</v>
      </c>
      <c r="L39" s="188" t="s">
        <v>751</v>
      </c>
      <c r="M39" s="188" t="s">
        <v>751</v>
      </c>
      <c r="N39" s="188" t="s">
        <v>751</v>
      </c>
      <c r="O39" s="188" t="s">
        <v>751</v>
      </c>
      <c r="P39" s="188" t="s">
        <v>751</v>
      </c>
      <c r="Q39" s="188" t="s">
        <v>747</v>
      </c>
      <c r="R39" s="188" t="s">
        <v>747</v>
      </c>
      <c r="S39" s="188" t="s">
        <v>747</v>
      </c>
      <c r="T39" s="188" t="s">
        <v>747</v>
      </c>
      <c r="U39" s="188" t="s">
        <v>747</v>
      </c>
    </row>
    <row r="40" customFormat="false" ht="15" hidden="false" customHeight="false" outlineLevel="0" collapsed="false">
      <c r="A40" s="0"/>
      <c r="B40" s="0"/>
      <c r="C40" s="0"/>
      <c r="D40" s="0"/>
      <c r="E40" s="0"/>
      <c r="F40" s="188" t="s">
        <v>832</v>
      </c>
      <c r="G40" s="18" t="n">
        <v>4</v>
      </c>
      <c r="H40" s="279" t="n">
        <v>0</v>
      </c>
      <c r="I40" s="188" t="n">
        <v>1</v>
      </c>
      <c r="J40" s="188" t="n">
        <v>2</v>
      </c>
      <c r="K40" s="188" t="n">
        <v>3</v>
      </c>
      <c r="L40" s="18" t="n">
        <v>4</v>
      </c>
      <c r="M40" s="279" t="n">
        <v>0</v>
      </c>
      <c r="N40" s="188" t="n">
        <v>1</v>
      </c>
      <c r="O40" s="188" t="n">
        <v>2</v>
      </c>
      <c r="P40" s="188" t="n">
        <v>3</v>
      </c>
      <c r="Q40" s="18" t="n">
        <v>4</v>
      </c>
      <c r="R40" s="279" t="n">
        <v>0</v>
      </c>
      <c r="S40" s="188" t="n">
        <v>1</v>
      </c>
      <c r="T40" s="188" t="n">
        <v>2</v>
      </c>
      <c r="U40" s="188" t="n">
        <v>3</v>
      </c>
    </row>
    <row r="41" customFormat="false" ht="15" hidden="false" customHeight="false" outlineLevel="0" collapsed="false">
      <c r="A41" s="0"/>
      <c r="B41" s="0"/>
      <c r="C41" s="0"/>
      <c r="D41" s="0"/>
      <c r="E41" s="18" t="s">
        <v>837</v>
      </c>
      <c r="F41" s="226" t="n">
        <f aca="false">I30</f>
        <v>3762107.06260874</v>
      </c>
      <c r="G41" s="226" t="n">
        <f aca="false">F30</f>
        <v>3762107.06260874</v>
      </c>
      <c r="H41" s="226" t="n">
        <f aca="false">J30</f>
        <v>3762107.06260874</v>
      </c>
      <c r="I41" s="226" t="n">
        <f aca="false">K30</f>
        <v>3762107.06260874</v>
      </c>
      <c r="J41" s="226" t="n">
        <f aca="false">L30</f>
        <v>3762107.06260874</v>
      </c>
      <c r="K41" s="226" t="n">
        <f aca="false">M30</f>
        <v>3762107.06260874</v>
      </c>
      <c r="L41" s="226" t="n">
        <f aca="false">G30</f>
        <v>3762107.06260874</v>
      </c>
      <c r="M41" s="226" t="n">
        <f aca="false">N30</f>
        <v>3762107.06260874</v>
      </c>
      <c r="N41" s="226" t="n">
        <f aca="false">O30</f>
        <v>3762107.06260874</v>
      </c>
      <c r="O41" s="226" t="n">
        <f aca="false">P30</f>
        <v>3762107.06260874</v>
      </c>
      <c r="P41" s="226" t="n">
        <f aca="false">Q30</f>
        <v>3762107.06260874</v>
      </c>
      <c r="Q41" s="226" t="n">
        <f aca="false">H30</f>
        <v>3762107.06260874</v>
      </c>
      <c r="R41" s="226" t="n">
        <f aca="false">R30</f>
        <v>3762107.06260874</v>
      </c>
      <c r="S41" s="226" t="n">
        <f aca="false">S30</f>
        <v>3762107.06260874</v>
      </c>
      <c r="T41" s="226" t="n">
        <f aca="false">T30</f>
        <v>3762107.06260874</v>
      </c>
      <c r="U41" s="226" t="n">
        <f aca="false">U30</f>
        <v>3762107.06260874</v>
      </c>
    </row>
    <row r="42" customFormat="false" ht="15" hidden="false" customHeight="false" outlineLevel="0" collapsed="false">
      <c r="A42" s="0"/>
      <c r="B42" s="0"/>
      <c r="C42" s="0"/>
      <c r="D42" s="0"/>
      <c r="E42" s="18" t="s">
        <v>864</v>
      </c>
      <c r="F42" s="226" t="n">
        <f aca="false">I28</f>
        <v>0</v>
      </c>
      <c r="G42" s="226" t="n">
        <f aca="false">F28</f>
        <v>0</v>
      </c>
      <c r="H42" s="226" t="n">
        <f aca="false">J28</f>
        <v>0</v>
      </c>
      <c r="I42" s="226" t="n">
        <f aca="false">K28</f>
        <v>0</v>
      </c>
      <c r="J42" s="226" t="n">
        <f aca="false">L28</f>
        <v>0</v>
      </c>
      <c r="K42" s="226" t="n">
        <f aca="false">M28</f>
        <v>0</v>
      </c>
      <c r="L42" s="226" t="n">
        <f aca="false">G28</f>
        <v>0</v>
      </c>
      <c r="M42" s="226" t="n">
        <f aca="false">N28</f>
        <v>0</v>
      </c>
      <c r="N42" s="226" t="n">
        <f aca="false">O28</f>
        <v>0</v>
      </c>
      <c r="O42" s="226" t="n">
        <f aca="false">P28</f>
        <v>0</v>
      </c>
      <c r="P42" s="226" t="n">
        <f aca="false">Q28</f>
        <v>0</v>
      </c>
      <c r="Q42" s="226" t="n">
        <f aca="false">H28</f>
        <v>0</v>
      </c>
      <c r="R42" s="226" t="n">
        <f aca="false">R28</f>
        <v>0</v>
      </c>
      <c r="S42" s="226" t="n">
        <f aca="false">S28</f>
        <v>0</v>
      </c>
      <c r="T42" s="226" t="n">
        <f aca="false">T28</f>
        <v>0</v>
      </c>
      <c r="U42" s="226" t="n">
        <f aca="false">U28</f>
        <v>0</v>
      </c>
    </row>
    <row r="43" customFormat="false" ht="15" hidden="false" customHeight="false" outlineLevel="0" collapsed="false">
      <c r="A43" s="0"/>
      <c r="B43" s="0"/>
      <c r="C43" s="0"/>
      <c r="D43" s="0"/>
      <c r="E43" s="18" t="s">
        <v>865</v>
      </c>
      <c r="F43" s="226" t="n">
        <f aca="false">I29</f>
        <v>0</v>
      </c>
      <c r="G43" s="226" t="n">
        <f aca="false">F29</f>
        <v>0</v>
      </c>
      <c r="H43" s="226" t="n">
        <f aca="false">J29</f>
        <v>0</v>
      </c>
      <c r="I43" s="226" t="n">
        <f aca="false">K29</f>
        <v>0</v>
      </c>
      <c r="J43" s="226" t="n">
        <f aca="false">L29</f>
        <v>0</v>
      </c>
      <c r="K43" s="226" t="n">
        <f aca="false">M29</f>
        <v>0</v>
      </c>
      <c r="L43" s="226" t="n">
        <f aca="false">G29</f>
        <v>0</v>
      </c>
      <c r="M43" s="226" t="n">
        <f aca="false">N29</f>
        <v>0</v>
      </c>
      <c r="N43" s="226" t="n">
        <f aca="false">O29</f>
        <v>0</v>
      </c>
      <c r="O43" s="226" t="n">
        <f aca="false">P29</f>
        <v>0</v>
      </c>
      <c r="P43" s="226" t="n">
        <f aca="false">Q29</f>
        <v>0</v>
      </c>
      <c r="Q43" s="226" t="n">
        <f aca="false">H29</f>
        <v>0</v>
      </c>
      <c r="R43" s="226" t="n">
        <f aca="false">R29</f>
        <v>0</v>
      </c>
      <c r="S43" s="226" t="n">
        <f aca="false">S29</f>
        <v>0</v>
      </c>
      <c r="T43" s="226" t="n">
        <f aca="false">T29</f>
        <v>0</v>
      </c>
      <c r="U43" s="226" t="n">
        <f aca="false">U29</f>
        <v>0</v>
      </c>
    </row>
    <row r="44" customFormat="false" ht="15" hidden="false" customHeight="false" outlineLevel="0" collapsed="false">
      <c r="A44" s="0"/>
      <c r="B44" s="0"/>
      <c r="C44" s="0"/>
      <c r="D44" s="0"/>
      <c r="E44" s="18" t="s">
        <v>861</v>
      </c>
      <c r="F44" s="18" t="n">
        <f aca="false">F34</f>
        <v>34</v>
      </c>
      <c r="G44" s="18" t="n">
        <f aca="false">F33</f>
        <v>34</v>
      </c>
      <c r="H44" s="18" t="n">
        <f aca="false">J33</f>
        <v>34</v>
      </c>
      <c r="I44" s="18" t="n">
        <f aca="false">K33</f>
        <v>34</v>
      </c>
      <c r="J44" s="18" t="n">
        <f aca="false">L33</f>
        <v>34</v>
      </c>
      <c r="K44" s="18" t="n">
        <f aca="false">M33</f>
        <v>34</v>
      </c>
      <c r="L44" s="18" t="n">
        <f aca="false">G33</f>
        <v>34</v>
      </c>
      <c r="M44" s="18" t="n">
        <f aca="false">N33</f>
        <v>34</v>
      </c>
      <c r="N44" s="18" t="n">
        <f aca="false">O33</f>
        <v>34</v>
      </c>
      <c r="O44" s="18" t="n">
        <f aca="false">P33</f>
        <v>34</v>
      </c>
      <c r="P44" s="18" t="n">
        <f aca="false">Q33</f>
        <v>34</v>
      </c>
      <c r="Q44" s="18" t="n">
        <f aca="false">H33</f>
        <v>34</v>
      </c>
      <c r="R44" s="18" t="n">
        <f aca="false">R33</f>
        <v>34</v>
      </c>
      <c r="S44" s="18" t="n">
        <f aca="false">S33</f>
        <v>34</v>
      </c>
      <c r="T44" s="18" t="n">
        <f aca="false">T33</f>
        <v>34</v>
      </c>
      <c r="U44" s="18" t="n">
        <f aca="false">U33</f>
        <v>34</v>
      </c>
    </row>
    <row r="45" customFormat="false" ht="15" hidden="false" customHeight="false" outlineLevel="0" collapsed="false">
      <c r="A45" s="0"/>
      <c r="B45" s="0"/>
      <c r="C45" s="0"/>
      <c r="D45" s="0"/>
    </row>
    <row r="46" customFormat="false" ht="15" hidden="false" customHeight="false" outlineLevel="0" collapsed="false">
      <c r="A46" s="0"/>
      <c r="B46" s="0"/>
      <c r="C46" s="0"/>
      <c r="D46" s="0"/>
    </row>
    <row r="47" customFormat="false" ht="15" hidden="false" customHeight="false" outlineLevel="0" collapsed="false">
      <c r="A47" s="0"/>
      <c r="B47" s="0"/>
      <c r="C47" s="0"/>
      <c r="D47" s="0"/>
    </row>
    <row r="48" customFormat="false" ht="15" hidden="false" customHeight="false" outlineLevel="0" collapsed="false">
      <c r="A48" s="0"/>
      <c r="B48" s="0"/>
      <c r="C48" s="0"/>
      <c r="D48" s="0"/>
    </row>
    <row r="49" customFormat="false" ht="15" hidden="false" customHeight="false" outlineLevel="0" collapsed="false">
      <c r="A49" s="213" t="s">
        <v>866</v>
      </c>
      <c r="B49" s="0"/>
      <c r="C49" s="0"/>
      <c r="D49" s="0"/>
    </row>
    <row r="50" customFormat="false" ht="15" hidden="false" customHeight="false" outlineLevel="0" collapsed="false">
      <c r="A50" s="18" t="s">
        <v>867</v>
      </c>
      <c r="B50" s="18" t="s">
        <v>847</v>
      </c>
      <c r="C50" s="18" t="n">
        <f aca="false">INDEX($E$4:$E$24,MATCH(B50,$A$4:$A$24,0))</f>
        <v>31152.0129245896</v>
      </c>
      <c r="D50" s="18" t="n">
        <v>17</v>
      </c>
    </row>
    <row r="51" customFormat="false" ht="15" hidden="false" customHeight="false" outlineLevel="0" collapsed="false">
      <c r="A51" s="18" t="s">
        <v>868</v>
      </c>
      <c r="B51" s="18" t="s">
        <v>849</v>
      </c>
      <c r="C51" s="18" t="n">
        <f aca="false">INDEX($E$4:$E$24,MATCH(B51,$A$4:$A$24,0))</f>
        <v>44673.7857272248</v>
      </c>
      <c r="D51" s="18" t="n">
        <v>3</v>
      </c>
    </row>
    <row r="52" customFormat="false" ht="15" hidden="false" customHeight="false" outlineLevel="0" collapsed="false">
      <c r="A52" s="18" t="s">
        <v>869</v>
      </c>
      <c r="B52" s="18" t="s">
        <v>842</v>
      </c>
      <c r="C52" s="18" t="n">
        <f aca="false">INDEX($E$4:$E$24,MATCH(B52,$A$4:$A$24,0))</f>
        <v>49021.0635058498</v>
      </c>
      <c r="D52" s="18" t="n">
        <v>5</v>
      </c>
    </row>
    <row r="53" customFormat="false" ht="15" hidden="false" customHeight="false" outlineLevel="0" collapsed="false">
      <c r="A53" s="18" t="s">
        <v>870</v>
      </c>
      <c r="B53" s="18" t="s">
        <v>844</v>
      </c>
      <c r="C53" s="18" t="n">
        <f aca="false">INDEX($E$4:$E$24,MATCH(B53,$A$4:$A$24,0))</f>
        <v>49021.0635058498</v>
      </c>
      <c r="D53" s="18" t="n">
        <v>10</v>
      </c>
    </row>
    <row r="54" customFormat="false" ht="15" hidden="false" customHeight="false" outlineLevel="0" collapsed="false">
      <c r="A54" s="18" t="s">
        <v>871</v>
      </c>
      <c r="B54" s="18" t="s">
        <v>839</v>
      </c>
      <c r="C54" s="18" t="n">
        <f aca="false">INDEX($E$4:$E$24,MATCH(B54,$A$4:$A$24,0))</f>
        <v>94985.1212777705</v>
      </c>
      <c r="D54" s="18" t="n">
        <v>2</v>
      </c>
    </row>
    <row r="55" customFormat="false" ht="15" hidden="false" customHeight="false" outlineLevel="0" collapsed="false">
      <c r="A55" s="18" t="s">
        <v>872</v>
      </c>
      <c r="B55" s="18" t="s">
        <v>842</v>
      </c>
      <c r="C55" s="18" t="n">
        <f aca="false">INDEX($E$4:$E$24,MATCH(B55,$A$4:$A$24,0))</f>
        <v>49021.0635058498</v>
      </c>
      <c r="D55" s="18" t="n">
        <v>1</v>
      </c>
    </row>
    <row r="56" customFormat="false" ht="15" hidden="false" customHeight="false" outlineLevel="0" collapsed="false">
      <c r="A56" s="18" t="s">
        <v>873</v>
      </c>
      <c r="B56" s="18" t="s">
        <v>836</v>
      </c>
      <c r="C56" s="18" t="n">
        <f aca="false">INDEX($E$4:$E$24,MATCH(B56,$A$4:$A$24,0))</f>
        <v>180151.19114622</v>
      </c>
      <c r="D56" s="18" t="n">
        <v>1</v>
      </c>
    </row>
    <row r="57" customFormat="false" ht="15" hidden="false" customHeight="false" outlineLevel="0" collapsed="false">
      <c r="A57" s="18" t="s">
        <v>874</v>
      </c>
      <c r="B57" s="18" t="s">
        <v>843</v>
      </c>
      <c r="C57" s="18" t="n">
        <f aca="false">INDEX($E$4:$E$24,MATCH(B57,$A$4:$A$24,0))</f>
        <v>68629.02519856</v>
      </c>
      <c r="D57" s="18" t="n">
        <v>1</v>
      </c>
    </row>
    <row r="58" customFormat="false" ht="15" hidden="false" customHeight="false" outlineLevel="0" collapsed="false">
      <c r="A58" s="18" t="s">
        <v>875</v>
      </c>
      <c r="B58" s="186" t="s">
        <v>853</v>
      </c>
      <c r="C58" s="18" t="n">
        <f aca="false">INDEX($E$4:$E$24,MATCH(B58,$A$4:$A$24,0))</f>
        <v>44118.4934456351</v>
      </c>
      <c r="D58" s="18" t="n">
        <v>0.5</v>
      </c>
    </row>
    <row r="59" customFormat="false" ht="15" hidden="false" customHeight="false" outlineLevel="0" collapsed="false">
      <c r="A59" s="18" t="s">
        <v>876</v>
      </c>
      <c r="B59" s="186" t="s">
        <v>853</v>
      </c>
      <c r="C59" s="18" t="n">
        <f aca="false">INDEX($E$4:$E$24,MATCH(B59,$A$4:$A$24,0))</f>
        <v>44118.4934456351</v>
      </c>
      <c r="D59" s="18" t="n">
        <v>0.5</v>
      </c>
    </row>
    <row r="60" customFormat="false" ht="15" hidden="false" customHeight="false" outlineLevel="0" collapsed="false">
      <c r="D60" s="0"/>
    </row>
    <row r="61" customFormat="false" ht="15" hidden="false" customHeight="false" outlineLevel="0" collapsed="false">
      <c r="D61" s="225" t="n">
        <f aca="false">SUMPRODUCT(D50:D59,$C$50:$C$59)*(1+$B$2)</f>
        <v>3668541.93614458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LibreOffice/5.1.6.2$Linux_X86_64 LibreOffice_project/10m0$Build-2</Application>
  <Company>Bentley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2016-03-24T19:12:49Z</dcterms:created>
  <dc:creator>Walsh, Michael J.</dc:creator>
  <dc:description/>
  <dc:language>en-US</dc:language>
  <cp:lastModifiedBy/>
  <dcterms:modified xsi:type="dcterms:W3CDTF">2017-08-30T11:04:01Z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Bentley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